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10" yWindow="120" windowWidth="20730" windowHeight="10905"/>
  </bookViews>
  <sheets>
    <sheet name="2020" sheetId="4" r:id="rId1"/>
    <sheet name="Лист1" sheetId="1" r:id="rId2"/>
    <sheet name="Лист2" sheetId="2" r:id="rId3"/>
    <sheet name="Лист3" sheetId="3" r:id="rId4"/>
  </sheets>
  <calcPr calcId="162913"/>
</workbook>
</file>

<file path=xl/calcChain.xml><?xml version="1.0" encoding="utf-8"?>
<calcChain xmlns="http://schemas.openxmlformats.org/spreadsheetml/2006/main">
  <c r="C83" i="4" l="1"/>
  <c r="C38" i="4"/>
  <c r="D26" i="4"/>
  <c r="H67" i="4"/>
  <c r="D67" i="4" s="1"/>
  <c r="G60" i="4"/>
  <c r="F60" i="4"/>
  <c r="E60" i="4"/>
  <c r="D60" i="4"/>
  <c r="C58" i="4"/>
  <c r="C32" i="4"/>
  <c r="D16" i="4"/>
  <c r="I16" i="4"/>
  <c r="H29" i="4"/>
  <c r="I29" i="4" s="1"/>
  <c r="G63" i="4"/>
  <c r="F63" i="4"/>
  <c r="E63" i="4"/>
  <c r="D63" i="4"/>
  <c r="C63" i="4"/>
  <c r="C48" i="4"/>
  <c r="D48" i="4" s="1"/>
  <c r="H42" i="4"/>
  <c r="C47" i="4"/>
  <c r="D47" i="4" s="1"/>
  <c r="C49" i="4"/>
  <c r="D49" i="4" s="1"/>
  <c r="G25" i="4"/>
  <c r="F25" i="4"/>
  <c r="E25" i="4"/>
  <c r="D25" i="4"/>
  <c r="D61" i="4" l="1"/>
  <c r="C26" i="4" l="1"/>
  <c r="C67" i="4" l="1"/>
  <c r="C57" i="4"/>
  <c r="I58" i="4" s="1"/>
  <c r="I61" i="4" s="1"/>
  <c r="C55" i="4"/>
  <c r="C54" i="4"/>
  <c r="C53" i="4"/>
  <c r="C52" i="4"/>
  <c r="C51" i="4"/>
  <c r="E50" i="4"/>
  <c r="C42" i="4"/>
  <c r="E29" i="4"/>
  <c r="F29" i="4"/>
  <c r="G29" i="4"/>
  <c r="G31" i="4"/>
  <c r="F31" i="4"/>
  <c r="E31" i="4"/>
  <c r="G23" i="4"/>
  <c r="I14" i="1"/>
  <c r="C14" i="1"/>
  <c r="G21" i="4"/>
  <c r="D21" i="4"/>
  <c r="C22" i="4"/>
  <c r="H14" i="1"/>
  <c r="J14" i="1" s="1"/>
  <c r="K14" i="1" s="1"/>
  <c r="L14" i="1" s="1"/>
  <c r="C15" i="1"/>
  <c r="B14" i="1"/>
  <c r="B15" i="1" s="1"/>
  <c r="D15" i="1" l="1"/>
  <c r="E15" i="1" s="1"/>
  <c r="F50" i="4"/>
  <c r="F61" i="4" s="1"/>
  <c r="E61" i="4"/>
  <c r="G50" i="4"/>
  <c r="G61" i="4" s="1"/>
  <c r="C21" i="4"/>
  <c r="I22" i="4" s="1"/>
  <c r="D17" i="4"/>
  <c r="G16" i="4"/>
  <c r="D31" i="4"/>
  <c r="H61" i="4" l="1"/>
  <c r="C50" i="4"/>
  <c r="F16" i="4"/>
  <c r="G30" i="4"/>
  <c r="D30" i="4"/>
  <c r="E30" i="4" s="1"/>
  <c r="F30" i="4" s="1"/>
  <c r="E17" i="4"/>
  <c r="F17" i="4" s="1"/>
  <c r="E16" i="4"/>
  <c r="D23" i="4"/>
  <c r="E23" i="4" s="1"/>
  <c r="G13" i="4"/>
  <c r="F13" i="4"/>
  <c r="E13" i="4"/>
  <c r="D13" i="4"/>
  <c r="C39" i="4"/>
  <c r="C34" i="4"/>
  <c r="C37" i="4"/>
  <c r="C36" i="4"/>
  <c r="C35" i="4"/>
  <c r="C24" i="4"/>
  <c r="C19" i="4"/>
  <c r="C18" i="4"/>
  <c r="D14" i="4" l="1"/>
  <c r="D43" i="4" s="1"/>
  <c r="F14" i="4"/>
  <c r="E14" i="4"/>
  <c r="E43" i="4" s="1"/>
  <c r="E62" i="4" s="1"/>
  <c r="E64" i="4" s="1"/>
  <c r="E66" i="4" s="1"/>
  <c r="G14" i="4"/>
  <c r="C28" i="4"/>
  <c r="C29" i="4"/>
  <c r="C30" i="4"/>
  <c r="C16" i="4"/>
  <c r="G17" i="4"/>
  <c r="C25" i="4"/>
  <c r="C13" i="4"/>
  <c r="F23" i="4"/>
  <c r="C23" i="4" s="1"/>
  <c r="C31" i="4"/>
  <c r="C60" i="4" l="1"/>
  <c r="C61" i="4" s="1"/>
  <c r="G43" i="4"/>
  <c r="G62" i="4" s="1"/>
  <c r="G64" i="4" s="1"/>
  <c r="G66" i="4" s="1"/>
  <c r="E65" i="4"/>
  <c r="D62" i="4"/>
  <c r="D64" i="4" s="1"/>
  <c r="D66" i="4" s="1"/>
  <c r="F43" i="4"/>
  <c r="F62" i="4" s="1"/>
  <c r="F64" i="4" s="1"/>
  <c r="F66" i="4" s="1"/>
  <c r="C14" i="4"/>
  <c r="C17" i="4"/>
  <c r="G65" i="4" l="1"/>
  <c r="F65" i="4"/>
  <c r="H43" i="4"/>
  <c r="D65" i="4"/>
  <c r="C64" i="4"/>
  <c r="I64" i="4" s="1"/>
  <c r="C43" i="4"/>
  <c r="H44" i="4" l="1"/>
  <c r="C65" i="4"/>
  <c r="C66" i="4" l="1"/>
  <c r="C62" i="4"/>
  <c r="H62" i="4"/>
</calcChain>
</file>

<file path=xl/sharedStrings.xml><?xml version="1.0" encoding="utf-8"?>
<sst xmlns="http://schemas.openxmlformats.org/spreadsheetml/2006/main" count="112" uniqueCount="98">
  <si>
    <t>Наименование статей</t>
  </si>
  <si>
    <t>С начала
 2020 г.</t>
  </si>
  <si>
    <t>1 квартал
план</t>
  </si>
  <si>
    <t>2 квартал
план</t>
  </si>
  <si>
    <t>3 квартал
план</t>
  </si>
  <si>
    <t>4 квартал
план</t>
  </si>
  <si>
    <t>Содержание аппарата управления и домового хозяйства</t>
  </si>
  <si>
    <t>Оплата труда</t>
  </si>
  <si>
    <t>Начисления на оплату труда</t>
  </si>
  <si>
    <t>Электроэнергия вспомогательных помещений и МОП</t>
  </si>
  <si>
    <t>Электроэнергия на работу лифтов</t>
  </si>
  <si>
    <t>Техническое обслуживание лифта/ годовое</t>
  </si>
  <si>
    <t>Оплата за воду МОП</t>
  </si>
  <si>
    <t>Обслуживание программы Жилплат</t>
  </si>
  <si>
    <t>Оплата услуг за сбор жил-ком.платежей/комиссия ЕРИП и ЦИТ/</t>
  </si>
  <si>
    <t>Услуги связи/ Белтелеком</t>
  </si>
  <si>
    <t xml:space="preserve">Земельный налог </t>
  </si>
  <si>
    <t>Налог УСН/прибыль</t>
  </si>
  <si>
    <t>Канцелярские товары, бумага</t>
  </si>
  <si>
    <t>Заправка картриджа</t>
  </si>
  <si>
    <t>Почтовые услуги</t>
  </si>
  <si>
    <t>Механизированная уборка снега</t>
  </si>
  <si>
    <t>Доходы по нормативной себестоимости:</t>
  </si>
  <si>
    <t>Плата за сбор, вывоз обезвреживание ТБО</t>
  </si>
  <si>
    <t>Техническое обслуживание лифта ежемесячно</t>
  </si>
  <si>
    <t>Отопление + подогрев горячей воды</t>
  </si>
  <si>
    <t>Санитарное содержание вспомогательных помещений</t>
  </si>
  <si>
    <t>Электроэнергия на работу лифта</t>
  </si>
  <si>
    <t>Проценты за пользование денежными средствами /банк/</t>
  </si>
  <si>
    <t>Всего доходов</t>
  </si>
  <si>
    <t>Итого: Доходы-Расходы</t>
  </si>
  <si>
    <t>Площадь дома, включая нежилые и м/места</t>
  </si>
  <si>
    <t>Возмещаемые расходы в среднем в месяц</t>
  </si>
  <si>
    <t>Результат основной деятельности
(прибыль+, убыток -)</t>
  </si>
  <si>
    <t>Фонд капитального ремонта</t>
  </si>
  <si>
    <t xml:space="preserve">Председатель ТС </t>
  </si>
  <si>
    <t xml:space="preserve"> </t>
  </si>
  <si>
    <t xml:space="preserve">Бухгалтер ТС </t>
  </si>
  <si>
    <t xml:space="preserve">                                                                                   Товарищество   собственников жилого дома № 1 по улице Кутузова</t>
  </si>
  <si>
    <t xml:space="preserve">Утверждено общим собранием </t>
  </si>
  <si>
    <t xml:space="preserve">Протокол №   от </t>
  </si>
  <si>
    <t>ресолюшн 1235,80</t>
  </si>
  <si>
    <t>145,86 датком</t>
  </si>
  <si>
    <t>75 руб ежемес</t>
  </si>
  <si>
    <t>руб/м кв</t>
  </si>
  <si>
    <t>Гкал</t>
  </si>
  <si>
    <t>руб с чел</t>
  </si>
  <si>
    <t>Расходы</t>
  </si>
  <si>
    <t>базовая 27,0</t>
  </si>
  <si>
    <t xml:space="preserve">по 2019 году средняя </t>
  </si>
  <si>
    <t>Смета доходов и расходов ТС жилого дома № 1 по  улице   Кутузова  на 2020 год</t>
  </si>
  <si>
    <t>Вывоз мусора и обезвреживание ТБО</t>
  </si>
  <si>
    <t>ТО дома(текущее и аварийное обслуживание инженерных сетей ,  МОП, парковки)</t>
  </si>
  <si>
    <t>Электроэнергия вспомогательных помещений и МОП, ТС</t>
  </si>
  <si>
    <t>по субсидируемым тарифам</t>
  </si>
  <si>
    <t>по тарифам, обеспечивающим полное возмещение экономически обоснованных затрат</t>
  </si>
  <si>
    <t>теплоэнергия 2019</t>
  </si>
  <si>
    <t>тепло</t>
  </si>
  <si>
    <t>подогрев</t>
  </si>
  <si>
    <t>тариф</t>
  </si>
  <si>
    <t>по факт за 2019 по тарифам 2020</t>
  </si>
  <si>
    <t>Тепловая энергия  (стр а +стр б)</t>
  </si>
  <si>
    <t>а</t>
  </si>
  <si>
    <t>б</t>
  </si>
  <si>
    <t>1320 год</t>
  </si>
  <si>
    <t>шкаф для документов  800*400*2200</t>
  </si>
  <si>
    <t>мебель 2 комп  стола 1400*600*750</t>
  </si>
  <si>
    <t xml:space="preserve"> выкатная тумба 3 шуфлядки для принтера</t>
  </si>
  <si>
    <t>стелажи для технич штук (ключи и прочее) или тумба</t>
  </si>
  <si>
    <t>Оборудование офиса:</t>
  </si>
  <si>
    <t>шкаф платяной</t>
  </si>
  <si>
    <t>жалюзи  20 руб за м кв</t>
  </si>
  <si>
    <t>шкаф-сейф металлический для документов</t>
  </si>
  <si>
    <t>Хозяйственные инструменты (веник, лопата,ведра и др)</t>
  </si>
  <si>
    <t>Благоустройство территории (грунт, кустарники, цветы и т. д песок деиская площадка)</t>
  </si>
  <si>
    <t xml:space="preserve">Техническое обслуживание </t>
  </si>
  <si>
    <t>Прочие доходы</t>
  </si>
  <si>
    <t xml:space="preserve">Пеня по платежам </t>
  </si>
  <si>
    <t>Итого расходов</t>
  </si>
  <si>
    <t>Техническое обслуживание лифта/месячное</t>
  </si>
  <si>
    <t>тедол 480 за 4 лифта</t>
  </si>
  <si>
    <t>Прочие непредвиденные расходы(госпошлина, и др)</t>
  </si>
  <si>
    <t>Возмещаемые расходы за   (с кв.м)</t>
  </si>
  <si>
    <t>Уборка МОП и придомовой территории</t>
  </si>
  <si>
    <t>Белжилсервис 862</t>
  </si>
  <si>
    <t>жилых помещений  10562,4</t>
  </si>
  <si>
    <t>м/м  255,1 м кв</t>
  </si>
  <si>
    <t>нежилых (158,4-34)=124,4</t>
  </si>
  <si>
    <t>Возмещаемые расходы</t>
  </si>
  <si>
    <t>Приобретение имущества за счет вступительных взносов</t>
  </si>
  <si>
    <t>или заказать встроенный по месту</t>
  </si>
  <si>
    <t>Чайник чашки и проч</t>
  </si>
  <si>
    <t>итого</t>
  </si>
  <si>
    <t>Ремонт и замкна манометров и пр.</t>
  </si>
  <si>
    <t>устранение аварийных ситуаций</t>
  </si>
  <si>
    <t>закупка погружного насоса</t>
  </si>
  <si>
    <t>6 стульев</t>
  </si>
  <si>
    <t>Ограждение на детскую площадку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</si>
</sst>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000"/>
    <numFmt numFmtId="166" formatCode="#,##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indexed="9"/>
      <name val="Times New Roman"/>
      <family val="1"/>
      <charset val="204"/>
    </font>
    <font>
      <sz val="13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4" fontId="6" fillId="0" borderId="1" xfId="0" applyNumberFormat="1" applyFont="1" applyBorder="1" applyAlignment="1">
      <alignment horizontal="center"/>
    </xf>
    <xf numFmtId="0" fontId="7" fillId="0" borderId="0" xfId="0" applyFont="1"/>
    <xf numFmtId="0" fontId="6" fillId="0" borderId="1" xfId="0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2" fontId="6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0" fillId="0" borderId="0" xfId="0" applyFont="1" applyFill="1"/>
    <xf numFmtId="0" fontId="1" fillId="0" borderId="0" xfId="0" applyFont="1"/>
    <xf numFmtId="0" fontId="6" fillId="0" borderId="1" xfId="0" applyFont="1" applyBorder="1" applyAlignment="1">
      <alignment horizontal="left" vertical="center"/>
    </xf>
    <xf numFmtId="4" fontId="6" fillId="3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0" fillId="0" borderId="0" xfId="0" applyFill="1"/>
    <xf numFmtId="0" fontId="6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0" fillId="0" borderId="0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2" fillId="0" borderId="0" xfId="0" applyFont="1"/>
    <xf numFmtId="166" fontId="6" fillId="0" borderId="2" xfId="0" applyNumberFormat="1" applyFont="1" applyFill="1" applyBorder="1" applyAlignment="1">
      <alignment horizontal="center"/>
    </xf>
    <xf numFmtId="165" fontId="0" fillId="0" borderId="0" xfId="0" applyNumberFormat="1" applyFont="1" applyFill="1"/>
    <xf numFmtId="164" fontId="0" fillId="0" borderId="0" xfId="1" applyFont="1"/>
    <xf numFmtId="0" fontId="13" fillId="0" borderId="1" xfId="0" applyFont="1" applyFill="1" applyBorder="1" applyAlignment="1">
      <alignment horizontal="left"/>
    </xf>
    <xf numFmtId="4" fontId="6" fillId="3" borderId="3" xfId="0" applyNumberFormat="1" applyFont="1" applyFill="1" applyBorder="1" applyAlignment="1">
      <alignment horizontal="center"/>
    </xf>
    <xf numFmtId="0" fontId="10" fillId="0" borderId="0" xfId="0" applyFont="1" applyAlignment="1"/>
    <xf numFmtId="0" fontId="0" fillId="0" borderId="1" xfId="0" applyFont="1" applyBorder="1"/>
    <xf numFmtId="0" fontId="7" fillId="0" borderId="1" xfId="0" applyFont="1" applyBorder="1"/>
    <xf numFmtId="0" fontId="0" fillId="0" borderId="1" xfId="0" applyFont="1" applyFill="1" applyBorder="1"/>
    <xf numFmtId="0" fontId="0" fillId="4" borderId="1" xfId="0" applyFont="1" applyFill="1" applyBorder="1"/>
    <xf numFmtId="0" fontId="6" fillId="0" borderId="1" xfId="0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2" fontId="0" fillId="0" borderId="0" xfId="0" applyNumberFormat="1"/>
    <xf numFmtId="4" fontId="6" fillId="0" borderId="1" xfId="0" applyNumberFormat="1" applyFont="1" applyFill="1" applyBorder="1" applyAlignment="1">
      <alignment horizontal="center" vertical="center"/>
    </xf>
    <xf numFmtId="0" fontId="16" fillId="0" borderId="0" xfId="0" applyFont="1"/>
    <xf numFmtId="0" fontId="16" fillId="0" borderId="1" xfId="0" applyFont="1" applyFill="1" applyBorder="1" applyAlignment="1">
      <alignment wrapText="1"/>
    </xf>
    <xf numFmtId="0" fontId="0" fillId="0" borderId="1" xfId="0" applyBorder="1"/>
    <xf numFmtId="0" fontId="16" fillId="0" borderId="1" xfId="0" applyFont="1" applyBorder="1"/>
    <xf numFmtId="166" fontId="6" fillId="0" borderId="0" xfId="0" applyNumberFormat="1" applyFont="1" applyFill="1" applyBorder="1" applyAlignment="1">
      <alignment horizontal="center"/>
    </xf>
    <xf numFmtId="4" fontId="7" fillId="0" borderId="0" xfId="0" applyNumberFormat="1" applyFont="1"/>
    <xf numFmtId="164" fontId="0" fillId="0" borderId="0" xfId="0" applyNumberFormat="1" applyFill="1"/>
    <xf numFmtId="164" fontId="5" fillId="0" borderId="3" xfId="1" applyFont="1" applyFill="1" applyBorder="1" applyAlignment="1">
      <alignment horizontal="center"/>
    </xf>
    <xf numFmtId="164" fontId="0" fillId="0" borderId="0" xfId="0" applyNumberFormat="1" applyFont="1" applyFill="1"/>
    <xf numFmtId="0" fontId="2" fillId="0" borderId="1" xfId="0" applyFont="1" applyFill="1" applyBorder="1"/>
    <xf numFmtId="2" fontId="5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2" fontId="2" fillId="0" borderId="0" xfId="0" applyNumberFormat="1" applyFont="1"/>
    <xf numFmtId="0" fontId="2" fillId="0" borderId="1" xfId="0" applyFont="1" applyBorder="1"/>
    <xf numFmtId="0" fontId="17" fillId="0" borderId="0" xfId="0" applyFont="1"/>
    <xf numFmtId="0" fontId="0" fillId="0" borderId="0" xfId="0" applyBorder="1"/>
    <xf numFmtId="4" fontId="17" fillId="0" borderId="0" xfId="0" applyNumberFormat="1" applyFont="1"/>
    <xf numFmtId="0" fontId="5" fillId="5" borderId="1" xfId="0" applyFont="1" applyFill="1" applyBorder="1"/>
    <xf numFmtId="2" fontId="6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wrapText="1"/>
    </xf>
    <xf numFmtId="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4" fontId="0" fillId="0" borderId="1" xfId="0" applyNumberFormat="1" applyFont="1" applyBorder="1"/>
    <xf numFmtId="0" fontId="9" fillId="0" borderId="1" xfId="0" applyFont="1" applyBorder="1" applyAlignment="1">
      <alignment horizontal="right"/>
    </xf>
    <xf numFmtId="164" fontId="5" fillId="5" borderId="1" xfId="1" applyFont="1" applyFill="1" applyBorder="1" applyAlignment="1">
      <alignment horizontal="center"/>
    </xf>
    <xf numFmtId="0" fontId="14" fillId="0" borderId="1" xfId="0" applyFont="1" applyFill="1" applyBorder="1"/>
    <xf numFmtId="2" fontId="14" fillId="0" borderId="1" xfId="0" applyNumberFormat="1" applyFont="1" applyFill="1" applyBorder="1" applyAlignment="1">
      <alignment horizontal="center"/>
    </xf>
    <xf numFmtId="165" fontId="14" fillId="0" borderId="1" xfId="0" applyNumberFormat="1" applyFont="1" applyFill="1" applyBorder="1" applyAlignment="1">
      <alignment horizontal="center"/>
    </xf>
    <xf numFmtId="165" fontId="14" fillId="0" borderId="2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wrapText="1"/>
    </xf>
    <xf numFmtId="2" fontId="15" fillId="0" borderId="1" xfId="0" applyNumberFormat="1" applyFont="1" applyFill="1" applyBorder="1"/>
    <xf numFmtId="2" fontId="14" fillId="0" borderId="1" xfId="0" applyNumberFormat="1" applyFont="1" applyFill="1" applyBorder="1"/>
    <xf numFmtId="2" fontId="14" fillId="0" borderId="2" xfId="0" applyNumberFormat="1" applyFont="1" applyFill="1" applyBorder="1"/>
    <xf numFmtId="0" fontId="14" fillId="6" borderId="1" xfId="0" applyFont="1" applyFill="1" applyBorder="1"/>
    <xf numFmtId="165" fontId="14" fillId="6" borderId="1" xfId="0" applyNumberFormat="1" applyFont="1" applyFill="1" applyBorder="1" applyAlignment="1">
      <alignment horizontal="center"/>
    </xf>
    <xf numFmtId="165" fontId="14" fillId="0" borderId="3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4" fontId="6" fillId="3" borderId="4" xfId="0" applyNumberFormat="1" applyFont="1" applyFill="1" applyBorder="1" applyAlignment="1">
      <alignment horizontal="center"/>
    </xf>
    <xf numFmtId="4" fontId="6" fillId="3" borderId="5" xfId="0" applyNumberFormat="1" applyFont="1" applyFill="1" applyBorder="1" applyAlignment="1">
      <alignment horizontal="center"/>
    </xf>
    <xf numFmtId="4" fontId="6" fillId="3" borderId="6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5"/>
  <sheetViews>
    <sheetView tabSelected="1" topLeftCell="A37" workbookViewId="0">
      <selection activeCell="O44" sqref="O44"/>
    </sheetView>
  </sheetViews>
  <sheetFormatPr defaultRowHeight="17.25" x14ac:dyDescent="0.3"/>
  <cols>
    <col min="1" max="1" width="8" style="3" customWidth="1"/>
    <col min="2" max="2" width="59.85546875" style="25" customWidth="1"/>
    <col min="3" max="3" width="20.7109375" style="3" customWidth="1"/>
    <col min="4" max="4" width="16.7109375" style="3" customWidth="1"/>
    <col min="5" max="5" width="17.7109375" style="3" customWidth="1"/>
    <col min="6" max="6" width="18.7109375" style="3" customWidth="1"/>
    <col min="7" max="7" width="17.28515625" style="3" customWidth="1"/>
    <col min="8" max="8" width="20.85546875" style="3" hidden="1" customWidth="1"/>
    <col min="9" max="9" width="13" hidden="1" customWidth="1"/>
    <col min="10" max="11" width="0" hidden="1" customWidth="1"/>
    <col min="257" max="257" width="9.140625" customWidth="1"/>
    <col min="258" max="258" width="59.85546875" customWidth="1"/>
    <col min="259" max="259" width="20.7109375" customWidth="1"/>
    <col min="260" max="260" width="20.140625" customWidth="1"/>
    <col min="261" max="261" width="15.5703125" customWidth="1"/>
    <col min="262" max="262" width="17.42578125" customWidth="1"/>
    <col min="263" max="263" width="15" customWidth="1"/>
    <col min="264" max="264" width="14.140625" customWidth="1"/>
    <col min="513" max="513" width="9.140625" customWidth="1"/>
    <col min="514" max="514" width="59.85546875" customWidth="1"/>
    <col min="515" max="515" width="20.7109375" customWidth="1"/>
    <col min="516" max="516" width="20.140625" customWidth="1"/>
    <col min="517" max="517" width="15.5703125" customWidth="1"/>
    <col min="518" max="518" width="17.42578125" customWidth="1"/>
    <col min="519" max="519" width="15" customWidth="1"/>
    <col min="520" max="520" width="14.140625" customWidth="1"/>
    <col min="769" max="769" width="9.140625" customWidth="1"/>
    <col min="770" max="770" width="59.85546875" customWidth="1"/>
    <col min="771" max="771" width="20.7109375" customWidth="1"/>
    <col min="772" max="772" width="20.140625" customWidth="1"/>
    <col min="773" max="773" width="15.5703125" customWidth="1"/>
    <col min="774" max="774" width="17.42578125" customWidth="1"/>
    <col min="775" max="775" width="15" customWidth="1"/>
    <col min="776" max="776" width="14.140625" customWidth="1"/>
    <col min="1025" max="1025" width="9.140625" customWidth="1"/>
    <col min="1026" max="1026" width="59.85546875" customWidth="1"/>
    <col min="1027" max="1027" width="20.7109375" customWidth="1"/>
    <col min="1028" max="1028" width="20.140625" customWidth="1"/>
    <col min="1029" max="1029" width="15.5703125" customWidth="1"/>
    <col min="1030" max="1030" width="17.42578125" customWidth="1"/>
    <col min="1031" max="1031" width="15" customWidth="1"/>
    <col min="1032" max="1032" width="14.140625" customWidth="1"/>
    <col min="1281" max="1281" width="9.140625" customWidth="1"/>
    <col min="1282" max="1282" width="59.85546875" customWidth="1"/>
    <col min="1283" max="1283" width="20.7109375" customWidth="1"/>
    <col min="1284" max="1284" width="20.140625" customWidth="1"/>
    <col min="1285" max="1285" width="15.5703125" customWidth="1"/>
    <col min="1286" max="1286" width="17.42578125" customWidth="1"/>
    <col min="1287" max="1287" width="15" customWidth="1"/>
    <col min="1288" max="1288" width="14.140625" customWidth="1"/>
    <col min="1537" max="1537" width="9.140625" customWidth="1"/>
    <col min="1538" max="1538" width="59.85546875" customWidth="1"/>
    <col min="1539" max="1539" width="20.7109375" customWidth="1"/>
    <col min="1540" max="1540" width="20.140625" customWidth="1"/>
    <col min="1541" max="1541" width="15.5703125" customWidth="1"/>
    <col min="1542" max="1542" width="17.42578125" customWidth="1"/>
    <col min="1543" max="1543" width="15" customWidth="1"/>
    <col min="1544" max="1544" width="14.140625" customWidth="1"/>
    <col min="1793" max="1793" width="9.140625" customWidth="1"/>
    <col min="1794" max="1794" width="59.85546875" customWidth="1"/>
    <col min="1795" max="1795" width="20.7109375" customWidth="1"/>
    <col min="1796" max="1796" width="20.140625" customWidth="1"/>
    <col min="1797" max="1797" width="15.5703125" customWidth="1"/>
    <col min="1798" max="1798" width="17.42578125" customWidth="1"/>
    <col min="1799" max="1799" width="15" customWidth="1"/>
    <col min="1800" max="1800" width="14.140625" customWidth="1"/>
    <col min="2049" max="2049" width="9.140625" customWidth="1"/>
    <col min="2050" max="2050" width="59.85546875" customWidth="1"/>
    <col min="2051" max="2051" width="20.7109375" customWidth="1"/>
    <col min="2052" max="2052" width="20.140625" customWidth="1"/>
    <col min="2053" max="2053" width="15.5703125" customWidth="1"/>
    <col min="2054" max="2054" width="17.42578125" customWidth="1"/>
    <col min="2055" max="2055" width="15" customWidth="1"/>
    <col min="2056" max="2056" width="14.140625" customWidth="1"/>
    <col min="2305" max="2305" width="9.140625" customWidth="1"/>
    <col min="2306" max="2306" width="59.85546875" customWidth="1"/>
    <col min="2307" max="2307" width="20.7109375" customWidth="1"/>
    <col min="2308" max="2308" width="20.140625" customWidth="1"/>
    <col min="2309" max="2309" width="15.5703125" customWidth="1"/>
    <col min="2310" max="2310" width="17.42578125" customWidth="1"/>
    <col min="2311" max="2311" width="15" customWidth="1"/>
    <col min="2312" max="2312" width="14.140625" customWidth="1"/>
    <col min="2561" max="2561" width="9.140625" customWidth="1"/>
    <col min="2562" max="2562" width="59.85546875" customWidth="1"/>
    <col min="2563" max="2563" width="20.7109375" customWidth="1"/>
    <col min="2564" max="2564" width="20.140625" customWidth="1"/>
    <col min="2565" max="2565" width="15.5703125" customWidth="1"/>
    <col min="2566" max="2566" width="17.42578125" customWidth="1"/>
    <col min="2567" max="2567" width="15" customWidth="1"/>
    <col min="2568" max="2568" width="14.140625" customWidth="1"/>
    <col min="2817" max="2817" width="9.140625" customWidth="1"/>
    <col min="2818" max="2818" width="59.85546875" customWidth="1"/>
    <col min="2819" max="2819" width="20.7109375" customWidth="1"/>
    <col min="2820" max="2820" width="20.140625" customWidth="1"/>
    <col min="2821" max="2821" width="15.5703125" customWidth="1"/>
    <col min="2822" max="2822" width="17.42578125" customWidth="1"/>
    <col min="2823" max="2823" width="15" customWidth="1"/>
    <col min="2824" max="2824" width="14.140625" customWidth="1"/>
    <col min="3073" max="3073" width="9.140625" customWidth="1"/>
    <col min="3074" max="3074" width="59.85546875" customWidth="1"/>
    <col min="3075" max="3075" width="20.7109375" customWidth="1"/>
    <col min="3076" max="3076" width="20.140625" customWidth="1"/>
    <col min="3077" max="3077" width="15.5703125" customWidth="1"/>
    <col min="3078" max="3078" width="17.42578125" customWidth="1"/>
    <col min="3079" max="3079" width="15" customWidth="1"/>
    <col min="3080" max="3080" width="14.140625" customWidth="1"/>
    <col min="3329" max="3329" width="9.140625" customWidth="1"/>
    <col min="3330" max="3330" width="59.85546875" customWidth="1"/>
    <col min="3331" max="3331" width="20.7109375" customWidth="1"/>
    <col min="3332" max="3332" width="20.140625" customWidth="1"/>
    <col min="3333" max="3333" width="15.5703125" customWidth="1"/>
    <col min="3334" max="3334" width="17.42578125" customWidth="1"/>
    <col min="3335" max="3335" width="15" customWidth="1"/>
    <col min="3336" max="3336" width="14.140625" customWidth="1"/>
    <col min="3585" max="3585" width="9.140625" customWidth="1"/>
    <col min="3586" max="3586" width="59.85546875" customWidth="1"/>
    <col min="3587" max="3587" width="20.7109375" customWidth="1"/>
    <col min="3588" max="3588" width="20.140625" customWidth="1"/>
    <col min="3589" max="3589" width="15.5703125" customWidth="1"/>
    <col min="3590" max="3590" width="17.42578125" customWidth="1"/>
    <col min="3591" max="3591" width="15" customWidth="1"/>
    <col min="3592" max="3592" width="14.140625" customWidth="1"/>
    <col min="3841" max="3841" width="9.140625" customWidth="1"/>
    <col min="3842" max="3842" width="59.85546875" customWidth="1"/>
    <col min="3843" max="3843" width="20.7109375" customWidth="1"/>
    <col min="3844" max="3844" width="20.140625" customWidth="1"/>
    <col min="3845" max="3845" width="15.5703125" customWidth="1"/>
    <col min="3846" max="3846" width="17.42578125" customWidth="1"/>
    <col min="3847" max="3847" width="15" customWidth="1"/>
    <col min="3848" max="3848" width="14.140625" customWidth="1"/>
    <col min="4097" max="4097" width="9.140625" customWidth="1"/>
    <col min="4098" max="4098" width="59.85546875" customWidth="1"/>
    <col min="4099" max="4099" width="20.7109375" customWidth="1"/>
    <col min="4100" max="4100" width="20.140625" customWidth="1"/>
    <col min="4101" max="4101" width="15.5703125" customWidth="1"/>
    <col min="4102" max="4102" width="17.42578125" customWidth="1"/>
    <col min="4103" max="4103" width="15" customWidth="1"/>
    <col min="4104" max="4104" width="14.140625" customWidth="1"/>
    <col min="4353" max="4353" width="9.140625" customWidth="1"/>
    <col min="4354" max="4354" width="59.85546875" customWidth="1"/>
    <col min="4355" max="4355" width="20.7109375" customWidth="1"/>
    <col min="4356" max="4356" width="20.140625" customWidth="1"/>
    <col min="4357" max="4357" width="15.5703125" customWidth="1"/>
    <col min="4358" max="4358" width="17.42578125" customWidth="1"/>
    <col min="4359" max="4359" width="15" customWidth="1"/>
    <col min="4360" max="4360" width="14.140625" customWidth="1"/>
    <col min="4609" max="4609" width="9.140625" customWidth="1"/>
    <col min="4610" max="4610" width="59.85546875" customWidth="1"/>
    <col min="4611" max="4611" width="20.7109375" customWidth="1"/>
    <col min="4612" max="4612" width="20.140625" customWidth="1"/>
    <col min="4613" max="4613" width="15.5703125" customWidth="1"/>
    <col min="4614" max="4614" width="17.42578125" customWidth="1"/>
    <col min="4615" max="4615" width="15" customWidth="1"/>
    <col min="4616" max="4616" width="14.140625" customWidth="1"/>
    <col min="4865" max="4865" width="9.140625" customWidth="1"/>
    <col min="4866" max="4866" width="59.85546875" customWidth="1"/>
    <col min="4867" max="4867" width="20.7109375" customWidth="1"/>
    <col min="4868" max="4868" width="20.140625" customWidth="1"/>
    <col min="4869" max="4869" width="15.5703125" customWidth="1"/>
    <col min="4870" max="4870" width="17.42578125" customWidth="1"/>
    <col min="4871" max="4871" width="15" customWidth="1"/>
    <col min="4872" max="4872" width="14.140625" customWidth="1"/>
    <col min="5121" max="5121" width="9.140625" customWidth="1"/>
    <col min="5122" max="5122" width="59.85546875" customWidth="1"/>
    <col min="5123" max="5123" width="20.7109375" customWidth="1"/>
    <col min="5124" max="5124" width="20.140625" customWidth="1"/>
    <col min="5125" max="5125" width="15.5703125" customWidth="1"/>
    <col min="5126" max="5126" width="17.42578125" customWidth="1"/>
    <col min="5127" max="5127" width="15" customWidth="1"/>
    <col min="5128" max="5128" width="14.140625" customWidth="1"/>
    <col min="5377" max="5377" width="9.140625" customWidth="1"/>
    <col min="5378" max="5378" width="59.85546875" customWidth="1"/>
    <col min="5379" max="5379" width="20.7109375" customWidth="1"/>
    <col min="5380" max="5380" width="20.140625" customWidth="1"/>
    <col min="5381" max="5381" width="15.5703125" customWidth="1"/>
    <col min="5382" max="5382" width="17.42578125" customWidth="1"/>
    <col min="5383" max="5383" width="15" customWidth="1"/>
    <col min="5384" max="5384" width="14.140625" customWidth="1"/>
    <col min="5633" max="5633" width="9.140625" customWidth="1"/>
    <col min="5634" max="5634" width="59.85546875" customWidth="1"/>
    <col min="5635" max="5635" width="20.7109375" customWidth="1"/>
    <col min="5636" max="5636" width="20.140625" customWidth="1"/>
    <col min="5637" max="5637" width="15.5703125" customWidth="1"/>
    <col min="5638" max="5638" width="17.42578125" customWidth="1"/>
    <col min="5639" max="5639" width="15" customWidth="1"/>
    <col min="5640" max="5640" width="14.140625" customWidth="1"/>
    <col min="5889" max="5889" width="9.140625" customWidth="1"/>
    <col min="5890" max="5890" width="59.85546875" customWidth="1"/>
    <col min="5891" max="5891" width="20.7109375" customWidth="1"/>
    <col min="5892" max="5892" width="20.140625" customWidth="1"/>
    <col min="5893" max="5893" width="15.5703125" customWidth="1"/>
    <col min="5894" max="5894" width="17.42578125" customWidth="1"/>
    <col min="5895" max="5895" width="15" customWidth="1"/>
    <col min="5896" max="5896" width="14.140625" customWidth="1"/>
    <col min="6145" max="6145" width="9.140625" customWidth="1"/>
    <col min="6146" max="6146" width="59.85546875" customWidth="1"/>
    <col min="6147" max="6147" width="20.7109375" customWidth="1"/>
    <col min="6148" max="6148" width="20.140625" customWidth="1"/>
    <col min="6149" max="6149" width="15.5703125" customWidth="1"/>
    <col min="6150" max="6150" width="17.42578125" customWidth="1"/>
    <col min="6151" max="6151" width="15" customWidth="1"/>
    <col min="6152" max="6152" width="14.140625" customWidth="1"/>
    <col min="6401" max="6401" width="9.140625" customWidth="1"/>
    <col min="6402" max="6402" width="59.85546875" customWidth="1"/>
    <col min="6403" max="6403" width="20.7109375" customWidth="1"/>
    <col min="6404" max="6404" width="20.140625" customWidth="1"/>
    <col min="6405" max="6405" width="15.5703125" customWidth="1"/>
    <col min="6406" max="6406" width="17.42578125" customWidth="1"/>
    <col min="6407" max="6407" width="15" customWidth="1"/>
    <col min="6408" max="6408" width="14.140625" customWidth="1"/>
    <col min="6657" max="6657" width="9.140625" customWidth="1"/>
    <col min="6658" max="6658" width="59.85546875" customWidth="1"/>
    <col min="6659" max="6659" width="20.7109375" customWidth="1"/>
    <col min="6660" max="6660" width="20.140625" customWidth="1"/>
    <col min="6661" max="6661" width="15.5703125" customWidth="1"/>
    <col min="6662" max="6662" width="17.42578125" customWidth="1"/>
    <col min="6663" max="6663" width="15" customWidth="1"/>
    <col min="6664" max="6664" width="14.140625" customWidth="1"/>
    <col min="6913" max="6913" width="9.140625" customWidth="1"/>
    <col min="6914" max="6914" width="59.85546875" customWidth="1"/>
    <col min="6915" max="6915" width="20.7109375" customWidth="1"/>
    <col min="6916" max="6916" width="20.140625" customWidth="1"/>
    <col min="6917" max="6917" width="15.5703125" customWidth="1"/>
    <col min="6918" max="6918" width="17.42578125" customWidth="1"/>
    <col min="6919" max="6919" width="15" customWidth="1"/>
    <col min="6920" max="6920" width="14.140625" customWidth="1"/>
    <col min="7169" max="7169" width="9.140625" customWidth="1"/>
    <col min="7170" max="7170" width="59.85546875" customWidth="1"/>
    <col min="7171" max="7171" width="20.7109375" customWidth="1"/>
    <col min="7172" max="7172" width="20.140625" customWidth="1"/>
    <col min="7173" max="7173" width="15.5703125" customWidth="1"/>
    <col min="7174" max="7174" width="17.42578125" customWidth="1"/>
    <col min="7175" max="7175" width="15" customWidth="1"/>
    <col min="7176" max="7176" width="14.140625" customWidth="1"/>
    <col min="7425" max="7425" width="9.140625" customWidth="1"/>
    <col min="7426" max="7426" width="59.85546875" customWidth="1"/>
    <col min="7427" max="7427" width="20.7109375" customWidth="1"/>
    <col min="7428" max="7428" width="20.140625" customWidth="1"/>
    <col min="7429" max="7429" width="15.5703125" customWidth="1"/>
    <col min="7430" max="7430" width="17.42578125" customWidth="1"/>
    <col min="7431" max="7431" width="15" customWidth="1"/>
    <col min="7432" max="7432" width="14.140625" customWidth="1"/>
    <col min="7681" max="7681" width="9.140625" customWidth="1"/>
    <col min="7682" max="7682" width="59.85546875" customWidth="1"/>
    <col min="7683" max="7683" width="20.7109375" customWidth="1"/>
    <col min="7684" max="7684" width="20.140625" customWidth="1"/>
    <col min="7685" max="7685" width="15.5703125" customWidth="1"/>
    <col min="7686" max="7686" width="17.42578125" customWidth="1"/>
    <col min="7687" max="7687" width="15" customWidth="1"/>
    <col min="7688" max="7688" width="14.140625" customWidth="1"/>
    <col min="7937" max="7937" width="9.140625" customWidth="1"/>
    <col min="7938" max="7938" width="59.85546875" customWidth="1"/>
    <col min="7939" max="7939" width="20.7109375" customWidth="1"/>
    <col min="7940" max="7940" width="20.140625" customWidth="1"/>
    <col min="7941" max="7941" width="15.5703125" customWidth="1"/>
    <col min="7942" max="7942" width="17.42578125" customWidth="1"/>
    <col min="7943" max="7943" width="15" customWidth="1"/>
    <col min="7944" max="7944" width="14.140625" customWidth="1"/>
    <col min="8193" max="8193" width="9.140625" customWidth="1"/>
    <col min="8194" max="8194" width="59.85546875" customWidth="1"/>
    <col min="8195" max="8195" width="20.7109375" customWidth="1"/>
    <col min="8196" max="8196" width="20.140625" customWidth="1"/>
    <col min="8197" max="8197" width="15.5703125" customWidth="1"/>
    <col min="8198" max="8198" width="17.42578125" customWidth="1"/>
    <col min="8199" max="8199" width="15" customWidth="1"/>
    <col min="8200" max="8200" width="14.140625" customWidth="1"/>
    <col min="8449" max="8449" width="9.140625" customWidth="1"/>
    <col min="8450" max="8450" width="59.85546875" customWidth="1"/>
    <col min="8451" max="8451" width="20.7109375" customWidth="1"/>
    <col min="8452" max="8452" width="20.140625" customWidth="1"/>
    <col min="8453" max="8453" width="15.5703125" customWidth="1"/>
    <col min="8454" max="8454" width="17.42578125" customWidth="1"/>
    <col min="8455" max="8455" width="15" customWidth="1"/>
    <col min="8456" max="8456" width="14.140625" customWidth="1"/>
    <col min="8705" max="8705" width="9.140625" customWidth="1"/>
    <col min="8706" max="8706" width="59.85546875" customWidth="1"/>
    <col min="8707" max="8707" width="20.7109375" customWidth="1"/>
    <col min="8708" max="8708" width="20.140625" customWidth="1"/>
    <col min="8709" max="8709" width="15.5703125" customWidth="1"/>
    <col min="8710" max="8710" width="17.42578125" customWidth="1"/>
    <col min="8711" max="8711" width="15" customWidth="1"/>
    <col min="8712" max="8712" width="14.140625" customWidth="1"/>
    <col min="8961" max="8961" width="9.140625" customWidth="1"/>
    <col min="8962" max="8962" width="59.85546875" customWidth="1"/>
    <col min="8963" max="8963" width="20.7109375" customWidth="1"/>
    <col min="8964" max="8964" width="20.140625" customWidth="1"/>
    <col min="8965" max="8965" width="15.5703125" customWidth="1"/>
    <col min="8966" max="8966" width="17.42578125" customWidth="1"/>
    <col min="8967" max="8967" width="15" customWidth="1"/>
    <col min="8968" max="8968" width="14.140625" customWidth="1"/>
    <col min="9217" max="9217" width="9.140625" customWidth="1"/>
    <col min="9218" max="9218" width="59.85546875" customWidth="1"/>
    <col min="9219" max="9219" width="20.7109375" customWidth="1"/>
    <col min="9220" max="9220" width="20.140625" customWidth="1"/>
    <col min="9221" max="9221" width="15.5703125" customWidth="1"/>
    <col min="9222" max="9222" width="17.42578125" customWidth="1"/>
    <col min="9223" max="9223" width="15" customWidth="1"/>
    <col min="9224" max="9224" width="14.140625" customWidth="1"/>
    <col min="9473" max="9473" width="9.140625" customWidth="1"/>
    <col min="9474" max="9474" width="59.85546875" customWidth="1"/>
    <col min="9475" max="9475" width="20.7109375" customWidth="1"/>
    <col min="9476" max="9476" width="20.140625" customWidth="1"/>
    <col min="9477" max="9477" width="15.5703125" customWidth="1"/>
    <col min="9478" max="9478" width="17.42578125" customWidth="1"/>
    <col min="9479" max="9479" width="15" customWidth="1"/>
    <col min="9480" max="9480" width="14.140625" customWidth="1"/>
    <col min="9729" max="9729" width="9.140625" customWidth="1"/>
    <col min="9730" max="9730" width="59.85546875" customWidth="1"/>
    <col min="9731" max="9731" width="20.7109375" customWidth="1"/>
    <col min="9732" max="9732" width="20.140625" customWidth="1"/>
    <col min="9733" max="9733" width="15.5703125" customWidth="1"/>
    <col min="9734" max="9734" width="17.42578125" customWidth="1"/>
    <col min="9735" max="9735" width="15" customWidth="1"/>
    <col min="9736" max="9736" width="14.140625" customWidth="1"/>
    <col min="9985" max="9985" width="9.140625" customWidth="1"/>
    <col min="9986" max="9986" width="59.85546875" customWidth="1"/>
    <col min="9987" max="9987" width="20.7109375" customWidth="1"/>
    <col min="9988" max="9988" width="20.140625" customWidth="1"/>
    <col min="9989" max="9989" width="15.5703125" customWidth="1"/>
    <col min="9990" max="9990" width="17.42578125" customWidth="1"/>
    <col min="9991" max="9991" width="15" customWidth="1"/>
    <col min="9992" max="9992" width="14.140625" customWidth="1"/>
    <col min="10241" max="10241" width="9.140625" customWidth="1"/>
    <col min="10242" max="10242" width="59.85546875" customWidth="1"/>
    <col min="10243" max="10243" width="20.7109375" customWidth="1"/>
    <col min="10244" max="10244" width="20.140625" customWidth="1"/>
    <col min="10245" max="10245" width="15.5703125" customWidth="1"/>
    <col min="10246" max="10246" width="17.42578125" customWidth="1"/>
    <col min="10247" max="10247" width="15" customWidth="1"/>
    <col min="10248" max="10248" width="14.140625" customWidth="1"/>
    <col min="10497" max="10497" width="9.140625" customWidth="1"/>
    <col min="10498" max="10498" width="59.85546875" customWidth="1"/>
    <col min="10499" max="10499" width="20.7109375" customWidth="1"/>
    <col min="10500" max="10500" width="20.140625" customWidth="1"/>
    <col min="10501" max="10501" width="15.5703125" customWidth="1"/>
    <col min="10502" max="10502" width="17.42578125" customWidth="1"/>
    <col min="10503" max="10503" width="15" customWidth="1"/>
    <col min="10504" max="10504" width="14.140625" customWidth="1"/>
    <col min="10753" max="10753" width="9.140625" customWidth="1"/>
    <col min="10754" max="10754" width="59.85546875" customWidth="1"/>
    <col min="10755" max="10755" width="20.7109375" customWidth="1"/>
    <col min="10756" max="10756" width="20.140625" customWidth="1"/>
    <col min="10757" max="10757" width="15.5703125" customWidth="1"/>
    <col min="10758" max="10758" width="17.42578125" customWidth="1"/>
    <col min="10759" max="10759" width="15" customWidth="1"/>
    <col min="10760" max="10760" width="14.140625" customWidth="1"/>
    <col min="11009" max="11009" width="9.140625" customWidth="1"/>
    <col min="11010" max="11010" width="59.85546875" customWidth="1"/>
    <col min="11011" max="11011" width="20.7109375" customWidth="1"/>
    <col min="11012" max="11012" width="20.140625" customWidth="1"/>
    <col min="11013" max="11013" width="15.5703125" customWidth="1"/>
    <col min="11014" max="11014" width="17.42578125" customWidth="1"/>
    <col min="11015" max="11015" width="15" customWidth="1"/>
    <col min="11016" max="11016" width="14.140625" customWidth="1"/>
    <col min="11265" max="11265" width="9.140625" customWidth="1"/>
    <col min="11266" max="11266" width="59.85546875" customWidth="1"/>
    <col min="11267" max="11267" width="20.7109375" customWidth="1"/>
    <col min="11268" max="11268" width="20.140625" customWidth="1"/>
    <col min="11269" max="11269" width="15.5703125" customWidth="1"/>
    <col min="11270" max="11270" width="17.42578125" customWidth="1"/>
    <col min="11271" max="11271" width="15" customWidth="1"/>
    <col min="11272" max="11272" width="14.140625" customWidth="1"/>
    <col min="11521" max="11521" width="9.140625" customWidth="1"/>
    <col min="11522" max="11522" width="59.85546875" customWidth="1"/>
    <col min="11523" max="11523" width="20.7109375" customWidth="1"/>
    <col min="11524" max="11524" width="20.140625" customWidth="1"/>
    <col min="11525" max="11525" width="15.5703125" customWidth="1"/>
    <col min="11526" max="11526" width="17.42578125" customWidth="1"/>
    <col min="11527" max="11527" width="15" customWidth="1"/>
    <col min="11528" max="11528" width="14.140625" customWidth="1"/>
    <col min="11777" max="11777" width="9.140625" customWidth="1"/>
    <col min="11778" max="11778" width="59.85546875" customWidth="1"/>
    <col min="11779" max="11779" width="20.7109375" customWidth="1"/>
    <col min="11780" max="11780" width="20.140625" customWidth="1"/>
    <col min="11781" max="11781" width="15.5703125" customWidth="1"/>
    <col min="11782" max="11782" width="17.42578125" customWidth="1"/>
    <col min="11783" max="11783" width="15" customWidth="1"/>
    <col min="11784" max="11784" width="14.140625" customWidth="1"/>
    <col min="12033" max="12033" width="9.140625" customWidth="1"/>
    <col min="12034" max="12034" width="59.85546875" customWidth="1"/>
    <col min="12035" max="12035" width="20.7109375" customWidth="1"/>
    <col min="12036" max="12036" width="20.140625" customWidth="1"/>
    <col min="12037" max="12037" width="15.5703125" customWidth="1"/>
    <col min="12038" max="12038" width="17.42578125" customWidth="1"/>
    <col min="12039" max="12039" width="15" customWidth="1"/>
    <col min="12040" max="12040" width="14.140625" customWidth="1"/>
    <col min="12289" max="12289" width="9.140625" customWidth="1"/>
    <col min="12290" max="12290" width="59.85546875" customWidth="1"/>
    <col min="12291" max="12291" width="20.7109375" customWidth="1"/>
    <col min="12292" max="12292" width="20.140625" customWidth="1"/>
    <col min="12293" max="12293" width="15.5703125" customWidth="1"/>
    <col min="12294" max="12294" width="17.42578125" customWidth="1"/>
    <col min="12295" max="12295" width="15" customWidth="1"/>
    <col min="12296" max="12296" width="14.140625" customWidth="1"/>
    <col min="12545" max="12545" width="9.140625" customWidth="1"/>
    <col min="12546" max="12546" width="59.85546875" customWidth="1"/>
    <col min="12547" max="12547" width="20.7109375" customWidth="1"/>
    <col min="12548" max="12548" width="20.140625" customWidth="1"/>
    <col min="12549" max="12549" width="15.5703125" customWidth="1"/>
    <col min="12550" max="12550" width="17.42578125" customWidth="1"/>
    <col min="12551" max="12551" width="15" customWidth="1"/>
    <col min="12552" max="12552" width="14.140625" customWidth="1"/>
    <col min="12801" max="12801" width="9.140625" customWidth="1"/>
    <col min="12802" max="12802" width="59.85546875" customWidth="1"/>
    <col min="12803" max="12803" width="20.7109375" customWidth="1"/>
    <col min="12804" max="12804" width="20.140625" customWidth="1"/>
    <col min="12805" max="12805" width="15.5703125" customWidth="1"/>
    <col min="12806" max="12806" width="17.42578125" customWidth="1"/>
    <col min="12807" max="12807" width="15" customWidth="1"/>
    <col min="12808" max="12808" width="14.140625" customWidth="1"/>
    <col min="13057" max="13057" width="9.140625" customWidth="1"/>
    <col min="13058" max="13058" width="59.85546875" customWidth="1"/>
    <col min="13059" max="13059" width="20.7109375" customWidth="1"/>
    <col min="13060" max="13060" width="20.140625" customWidth="1"/>
    <col min="13061" max="13061" width="15.5703125" customWidth="1"/>
    <col min="13062" max="13062" width="17.42578125" customWidth="1"/>
    <col min="13063" max="13063" width="15" customWidth="1"/>
    <col min="13064" max="13064" width="14.140625" customWidth="1"/>
    <col min="13313" max="13313" width="9.140625" customWidth="1"/>
    <col min="13314" max="13314" width="59.85546875" customWidth="1"/>
    <col min="13315" max="13315" width="20.7109375" customWidth="1"/>
    <col min="13316" max="13316" width="20.140625" customWidth="1"/>
    <col min="13317" max="13317" width="15.5703125" customWidth="1"/>
    <col min="13318" max="13318" width="17.42578125" customWidth="1"/>
    <col min="13319" max="13319" width="15" customWidth="1"/>
    <col min="13320" max="13320" width="14.140625" customWidth="1"/>
    <col min="13569" max="13569" width="9.140625" customWidth="1"/>
    <col min="13570" max="13570" width="59.85546875" customWidth="1"/>
    <col min="13571" max="13571" width="20.7109375" customWidth="1"/>
    <col min="13572" max="13572" width="20.140625" customWidth="1"/>
    <col min="13573" max="13573" width="15.5703125" customWidth="1"/>
    <col min="13574" max="13574" width="17.42578125" customWidth="1"/>
    <col min="13575" max="13575" width="15" customWidth="1"/>
    <col min="13576" max="13576" width="14.140625" customWidth="1"/>
    <col min="13825" max="13825" width="9.140625" customWidth="1"/>
    <col min="13826" max="13826" width="59.85546875" customWidth="1"/>
    <col min="13827" max="13827" width="20.7109375" customWidth="1"/>
    <col min="13828" max="13828" width="20.140625" customWidth="1"/>
    <col min="13829" max="13829" width="15.5703125" customWidth="1"/>
    <col min="13830" max="13830" width="17.42578125" customWidth="1"/>
    <col min="13831" max="13831" width="15" customWidth="1"/>
    <col min="13832" max="13832" width="14.140625" customWidth="1"/>
    <col min="14081" max="14081" width="9.140625" customWidth="1"/>
    <col min="14082" max="14082" width="59.85546875" customWidth="1"/>
    <col min="14083" max="14083" width="20.7109375" customWidth="1"/>
    <col min="14084" max="14084" width="20.140625" customWidth="1"/>
    <col min="14085" max="14085" width="15.5703125" customWidth="1"/>
    <col min="14086" max="14086" width="17.42578125" customWidth="1"/>
    <col min="14087" max="14087" width="15" customWidth="1"/>
    <col min="14088" max="14088" width="14.140625" customWidth="1"/>
    <col min="14337" max="14337" width="9.140625" customWidth="1"/>
    <col min="14338" max="14338" width="59.85546875" customWidth="1"/>
    <col min="14339" max="14339" width="20.7109375" customWidth="1"/>
    <col min="14340" max="14340" width="20.140625" customWidth="1"/>
    <col min="14341" max="14341" width="15.5703125" customWidth="1"/>
    <col min="14342" max="14342" width="17.42578125" customWidth="1"/>
    <col min="14343" max="14343" width="15" customWidth="1"/>
    <col min="14344" max="14344" width="14.140625" customWidth="1"/>
    <col min="14593" max="14593" width="9.140625" customWidth="1"/>
    <col min="14594" max="14594" width="59.85546875" customWidth="1"/>
    <col min="14595" max="14595" width="20.7109375" customWidth="1"/>
    <col min="14596" max="14596" width="20.140625" customWidth="1"/>
    <col min="14597" max="14597" width="15.5703125" customWidth="1"/>
    <col min="14598" max="14598" width="17.42578125" customWidth="1"/>
    <col min="14599" max="14599" width="15" customWidth="1"/>
    <col min="14600" max="14600" width="14.140625" customWidth="1"/>
    <col min="14849" max="14849" width="9.140625" customWidth="1"/>
    <col min="14850" max="14850" width="59.85546875" customWidth="1"/>
    <col min="14851" max="14851" width="20.7109375" customWidth="1"/>
    <col min="14852" max="14852" width="20.140625" customWidth="1"/>
    <col min="14853" max="14853" width="15.5703125" customWidth="1"/>
    <col min="14854" max="14854" width="17.42578125" customWidth="1"/>
    <col min="14855" max="14855" width="15" customWidth="1"/>
    <col min="14856" max="14856" width="14.140625" customWidth="1"/>
    <col min="15105" max="15105" width="9.140625" customWidth="1"/>
    <col min="15106" max="15106" width="59.85546875" customWidth="1"/>
    <col min="15107" max="15107" width="20.7109375" customWidth="1"/>
    <col min="15108" max="15108" width="20.140625" customWidth="1"/>
    <col min="15109" max="15109" width="15.5703125" customWidth="1"/>
    <col min="15110" max="15110" width="17.42578125" customWidth="1"/>
    <col min="15111" max="15111" width="15" customWidth="1"/>
    <col min="15112" max="15112" width="14.140625" customWidth="1"/>
    <col min="15361" max="15361" width="9.140625" customWidth="1"/>
    <col min="15362" max="15362" width="59.85546875" customWidth="1"/>
    <col min="15363" max="15363" width="20.7109375" customWidth="1"/>
    <col min="15364" max="15364" width="20.140625" customWidth="1"/>
    <col min="15365" max="15365" width="15.5703125" customWidth="1"/>
    <col min="15366" max="15366" width="17.42578125" customWidth="1"/>
    <col min="15367" max="15367" width="15" customWidth="1"/>
    <col min="15368" max="15368" width="14.140625" customWidth="1"/>
    <col min="15617" max="15617" width="9.140625" customWidth="1"/>
    <col min="15618" max="15618" width="59.85546875" customWidth="1"/>
    <col min="15619" max="15619" width="20.7109375" customWidth="1"/>
    <col min="15620" max="15620" width="20.140625" customWidth="1"/>
    <col min="15621" max="15621" width="15.5703125" customWidth="1"/>
    <col min="15622" max="15622" width="17.42578125" customWidth="1"/>
    <col min="15623" max="15623" width="15" customWidth="1"/>
    <col min="15624" max="15624" width="14.140625" customWidth="1"/>
    <col min="15873" max="15873" width="9.140625" customWidth="1"/>
    <col min="15874" max="15874" width="59.85546875" customWidth="1"/>
    <col min="15875" max="15875" width="20.7109375" customWidth="1"/>
    <col min="15876" max="15876" width="20.140625" customWidth="1"/>
    <col min="15877" max="15877" width="15.5703125" customWidth="1"/>
    <col min="15878" max="15878" width="17.42578125" customWidth="1"/>
    <col min="15879" max="15879" width="15" customWidth="1"/>
    <col min="15880" max="15880" width="14.140625" customWidth="1"/>
    <col min="16129" max="16129" width="9.140625" customWidth="1"/>
    <col min="16130" max="16130" width="59.85546875" customWidth="1"/>
    <col min="16131" max="16131" width="20.7109375" customWidth="1"/>
    <col min="16132" max="16132" width="20.140625" customWidth="1"/>
    <col min="16133" max="16133" width="15.5703125" customWidth="1"/>
    <col min="16134" max="16134" width="17.42578125" customWidth="1"/>
    <col min="16135" max="16135" width="15" customWidth="1"/>
    <col min="16136" max="16136" width="14.140625" customWidth="1"/>
  </cols>
  <sheetData>
    <row r="1" spans="1:9" s="28" customFormat="1" ht="18.75" x14ac:dyDescent="0.3">
      <c r="B1" s="27" t="s">
        <v>38</v>
      </c>
      <c r="C1" s="26"/>
      <c r="D1" s="26"/>
      <c r="E1" s="26"/>
      <c r="F1" s="26"/>
      <c r="G1" s="26"/>
    </row>
    <row r="2" spans="1:9" ht="18.75" x14ac:dyDescent="0.3">
      <c r="B2" s="2"/>
      <c r="C2" s="1"/>
      <c r="D2" s="1"/>
      <c r="E2" s="1"/>
      <c r="F2" s="1"/>
      <c r="G2" s="1"/>
    </row>
    <row r="3" spans="1:9" ht="18.75" x14ac:dyDescent="0.3">
      <c r="B3" s="2"/>
      <c r="C3" s="1"/>
      <c r="D3" s="1"/>
      <c r="E3" s="86" t="s">
        <v>39</v>
      </c>
      <c r="F3" s="86"/>
      <c r="G3" s="86"/>
    </row>
    <row r="4" spans="1:9" ht="18.75" x14ac:dyDescent="0.3">
      <c r="B4" s="2"/>
      <c r="C4" s="1"/>
      <c r="D4" s="1"/>
      <c r="E4" s="34" t="s">
        <v>40</v>
      </c>
      <c r="F4" s="34"/>
      <c r="G4" s="34"/>
    </row>
    <row r="5" spans="1:9" ht="18.75" x14ac:dyDescent="0.3">
      <c r="B5" s="2"/>
      <c r="C5" s="1"/>
      <c r="D5" s="1"/>
      <c r="E5" s="1"/>
      <c r="F5" s="1"/>
      <c r="G5" s="1"/>
    </row>
    <row r="6" spans="1:9" ht="18.75" x14ac:dyDescent="0.3">
      <c r="B6" s="2"/>
      <c r="C6" s="1"/>
      <c r="D6" s="1"/>
      <c r="E6" s="1"/>
      <c r="F6" s="1"/>
      <c r="G6" s="1"/>
    </row>
    <row r="7" spans="1:9" ht="18.75" x14ac:dyDescent="0.3">
      <c r="B7" s="2"/>
      <c r="C7" s="1"/>
      <c r="D7" s="1"/>
      <c r="E7" s="1"/>
      <c r="F7" s="1"/>
      <c r="G7" s="1"/>
    </row>
    <row r="8" spans="1:9" ht="18.75" x14ac:dyDescent="0.3">
      <c r="B8" s="85" t="s">
        <v>50</v>
      </c>
      <c r="C8" s="85"/>
      <c r="D8" s="85"/>
      <c r="E8" s="85"/>
      <c r="F8" s="85"/>
      <c r="G8" s="85"/>
    </row>
    <row r="9" spans="1:9" ht="18.75" x14ac:dyDescent="0.3">
      <c r="B9" s="2"/>
      <c r="C9" s="1"/>
      <c r="D9" s="1"/>
      <c r="E9" s="1"/>
      <c r="F9" s="1"/>
      <c r="G9" s="1"/>
    </row>
    <row r="10" spans="1:9" ht="37.5" x14ac:dyDescent="0.25">
      <c r="A10" s="35"/>
      <c r="B10" s="4" t="s">
        <v>0</v>
      </c>
      <c r="C10" s="5" t="s">
        <v>1</v>
      </c>
      <c r="D10" s="5" t="s">
        <v>2</v>
      </c>
      <c r="E10" s="5" t="s">
        <v>3</v>
      </c>
      <c r="F10" s="5" t="s">
        <v>4</v>
      </c>
      <c r="G10" s="5" t="s">
        <v>5</v>
      </c>
    </row>
    <row r="11" spans="1:9" ht="18.75" x14ac:dyDescent="0.25">
      <c r="A11" s="35"/>
      <c r="B11" s="64" t="s">
        <v>47</v>
      </c>
      <c r="C11" s="65"/>
      <c r="D11" s="65"/>
      <c r="E11" s="65"/>
      <c r="F11" s="65"/>
      <c r="G11" s="65"/>
    </row>
    <row r="12" spans="1:9" s="3" customFormat="1" ht="18.75" x14ac:dyDescent="0.3">
      <c r="A12" s="35"/>
      <c r="B12" s="6" t="s">
        <v>6</v>
      </c>
      <c r="C12" s="6"/>
      <c r="D12" s="6"/>
      <c r="E12" s="6"/>
      <c r="F12" s="6"/>
      <c r="G12" s="6"/>
    </row>
    <row r="13" spans="1:9" s="8" customFormat="1" ht="18.75" x14ac:dyDescent="0.3">
      <c r="A13" s="35">
        <v>1</v>
      </c>
      <c r="B13" s="6" t="s">
        <v>7</v>
      </c>
      <c r="C13" s="7">
        <f t="shared" ref="C13:C32" si="0">D13+E13+F13+G13</f>
        <v>13964.400000000001</v>
      </c>
      <c r="D13" s="7">
        <f>1163.7*3</f>
        <v>3491.1000000000004</v>
      </c>
      <c r="E13" s="7">
        <f t="shared" ref="E13:G13" si="1">1163.7*3</f>
        <v>3491.1000000000004</v>
      </c>
      <c r="F13" s="7">
        <f t="shared" si="1"/>
        <v>3491.1000000000004</v>
      </c>
      <c r="G13" s="7">
        <f t="shared" si="1"/>
        <v>3491.1000000000004</v>
      </c>
      <c r="H13" s="8" t="s">
        <v>48</v>
      </c>
    </row>
    <row r="14" spans="1:9" ht="18.75" x14ac:dyDescent="0.3">
      <c r="A14" s="35">
        <v>2</v>
      </c>
      <c r="B14" s="6" t="s">
        <v>8</v>
      </c>
      <c r="C14" s="7">
        <f t="shared" si="0"/>
        <v>1619.8704000000002</v>
      </c>
      <c r="D14" s="7">
        <f>D13*0.116</f>
        <v>404.96760000000006</v>
      </c>
      <c r="E14" s="7">
        <f t="shared" ref="E14:G14" si="2">E13*0.116</f>
        <v>404.96760000000006</v>
      </c>
      <c r="F14" s="7">
        <f t="shared" si="2"/>
        <v>404.96760000000006</v>
      </c>
      <c r="G14" s="7">
        <f t="shared" si="2"/>
        <v>404.96760000000006</v>
      </c>
      <c r="H14" s="29"/>
    </row>
    <row r="15" spans="1:9" ht="18.75" x14ac:dyDescent="0.3">
      <c r="A15" s="35"/>
      <c r="B15" s="6"/>
      <c r="C15" s="7"/>
      <c r="D15" s="7"/>
      <c r="E15" s="7"/>
      <c r="F15" s="7"/>
      <c r="G15" s="7"/>
      <c r="H15" s="47"/>
    </row>
    <row r="16" spans="1:9" ht="37.5" x14ac:dyDescent="0.3">
      <c r="A16" s="35"/>
      <c r="B16" s="39" t="s">
        <v>52</v>
      </c>
      <c r="C16" s="7">
        <f t="shared" si="0"/>
        <v>15600</v>
      </c>
      <c r="D16" s="10">
        <f>1300*3</f>
        <v>3900</v>
      </c>
      <c r="E16" s="10">
        <f t="shared" ref="E16:G17" si="3">D16</f>
        <v>3900</v>
      </c>
      <c r="F16" s="10">
        <f>D16</f>
        <v>3900</v>
      </c>
      <c r="G16" s="10">
        <f>D16</f>
        <v>3900</v>
      </c>
      <c r="H16" t="s">
        <v>41</v>
      </c>
      <c r="I16">
        <f>15605/12</f>
        <v>1300.4166666666667</v>
      </c>
    </row>
    <row r="17" spans="1:9" ht="18.75" x14ac:dyDescent="0.3">
      <c r="A17" s="35"/>
      <c r="B17" s="11" t="s">
        <v>51</v>
      </c>
      <c r="C17" s="7">
        <f t="shared" si="0"/>
        <v>2160</v>
      </c>
      <c r="D17" s="12">
        <f>180*3</f>
        <v>540</v>
      </c>
      <c r="E17" s="12">
        <f>D17</f>
        <v>540</v>
      </c>
      <c r="F17" s="12">
        <f>E17</f>
        <v>540</v>
      </c>
      <c r="G17" s="12">
        <f t="shared" si="3"/>
        <v>540</v>
      </c>
      <c r="H17" t="s">
        <v>42</v>
      </c>
    </row>
    <row r="18" spans="1:9" ht="37.5" x14ac:dyDescent="0.3">
      <c r="A18" s="37"/>
      <c r="B18" s="14" t="s">
        <v>53</v>
      </c>
      <c r="C18" s="13">
        <f t="shared" si="0"/>
        <v>1500</v>
      </c>
      <c r="D18" s="13">
        <v>400</v>
      </c>
      <c r="E18" s="13">
        <v>350</v>
      </c>
      <c r="F18" s="13">
        <v>350</v>
      </c>
      <c r="G18" s="13">
        <v>400</v>
      </c>
      <c r="H18" s="87" t="s">
        <v>60</v>
      </c>
    </row>
    <row r="19" spans="1:9" ht="18.75" x14ac:dyDescent="0.3">
      <c r="A19" s="37"/>
      <c r="B19" s="14" t="s">
        <v>10</v>
      </c>
      <c r="C19" s="13">
        <f t="shared" si="0"/>
        <v>2880</v>
      </c>
      <c r="D19" s="13">
        <v>720</v>
      </c>
      <c r="E19" s="13">
        <v>720</v>
      </c>
      <c r="F19" s="13">
        <v>720</v>
      </c>
      <c r="G19" s="13">
        <v>720</v>
      </c>
      <c r="H19" s="87"/>
    </row>
    <row r="20" spans="1:9" ht="18.75" x14ac:dyDescent="0.3">
      <c r="A20" s="35"/>
      <c r="B20" s="14" t="s">
        <v>61</v>
      </c>
      <c r="C20" s="7"/>
      <c r="D20" s="7"/>
      <c r="E20" s="7"/>
      <c r="F20" s="7"/>
      <c r="G20" s="7"/>
      <c r="H20" s="87" t="s">
        <v>60</v>
      </c>
    </row>
    <row r="21" spans="1:9" ht="18.75" x14ac:dyDescent="0.3">
      <c r="A21" s="45" t="s">
        <v>62</v>
      </c>
      <c r="B21" s="43" t="s">
        <v>54</v>
      </c>
      <c r="C21" s="13">
        <f t="shared" si="0"/>
        <v>8620</v>
      </c>
      <c r="D21" s="13">
        <f>3200+530</f>
        <v>3730</v>
      </c>
      <c r="E21" s="13">
        <v>530</v>
      </c>
      <c r="F21" s="13">
        <v>580</v>
      </c>
      <c r="G21" s="13">
        <f>3200+580</f>
        <v>3780</v>
      </c>
      <c r="H21" s="87"/>
    </row>
    <row r="22" spans="1:9" s="16" customFormat="1" ht="31.5" x14ac:dyDescent="0.3">
      <c r="A22" s="45" t="s">
        <v>63</v>
      </c>
      <c r="B22" s="44" t="s">
        <v>55</v>
      </c>
      <c r="C22" s="13">
        <f t="shared" si="0"/>
        <v>23250</v>
      </c>
      <c r="D22" s="42">
        <v>11300</v>
      </c>
      <c r="E22" s="42">
        <v>310</v>
      </c>
      <c r="F22" s="42">
        <v>340</v>
      </c>
      <c r="G22" s="42">
        <v>11300</v>
      </c>
      <c r="I22" s="48">
        <f>C21+C22</f>
        <v>31870</v>
      </c>
    </row>
    <row r="23" spans="1:9" ht="18.75" x14ac:dyDescent="0.3">
      <c r="A23" s="35"/>
      <c r="B23" s="11" t="s">
        <v>79</v>
      </c>
      <c r="C23" s="7">
        <f t="shared" si="0"/>
        <v>5760</v>
      </c>
      <c r="D23" s="10">
        <f>480*3</f>
        <v>1440</v>
      </c>
      <c r="E23" s="10">
        <f>D23</f>
        <v>1440</v>
      </c>
      <c r="F23" s="10">
        <f>E23</f>
        <v>1440</v>
      </c>
      <c r="G23" s="10">
        <f>480*3</f>
        <v>1440</v>
      </c>
      <c r="H23" t="s">
        <v>80</v>
      </c>
    </row>
    <row r="24" spans="1:9" s="8" customFormat="1" ht="18.75" x14ac:dyDescent="0.3">
      <c r="B24" s="11" t="s">
        <v>11</v>
      </c>
      <c r="C24" s="7">
        <f t="shared" si="0"/>
        <v>780</v>
      </c>
      <c r="D24" s="10"/>
      <c r="E24" s="10"/>
      <c r="F24" s="80">
        <v>780</v>
      </c>
      <c r="G24" s="10"/>
    </row>
    <row r="25" spans="1:9" ht="18.75" x14ac:dyDescent="0.3">
      <c r="A25" s="35"/>
      <c r="B25" s="17" t="s">
        <v>12</v>
      </c>
      <c r="C25" s="7">
        <f t="shared" si="0"/>
        <v>420</v>
      </c>
      <c r="D25" s="7">
        <f>35*3</f>
        <v>105</v>
      </c>
      <c r="E25" s="7">
        <f t="shared" ref="E25:G25" si="4">35*3</f>
        <v>105</v>
      </c>
      <c r="F25" s="7">
        <f t="shared" si="4"/>
        <v>105</v>
      </c>
      <c r="G25" s="7">
        <f t="shared" si="4"/>
        <v>105</v>
      </c>
    </row>
    <row r="26" spans="1:9" ht="18.75" x14ac:dyDescent="0.3">
      <c r="A26" s="35"/>
      <c r="B26" s="17" t="s">
        <v>83</v>
      </c>
      <c r="C26" s="7">
        <f t="shared" si="0"/>
        <v>13200</v>
      </c>
      <c r="D26" s="7">
        <f>(900+200)*3</f>
        <v>3300</v>
      </c>
      <c r="E26" s="7">
        <v>3300</v>
      </c>
      <c r="F26" s="7">
        <v>3300</v>
      </c>
      <c r="G26" s="7">
        <v>3300</v>
      </c>
      <c r="H26" t="s">
        <v>84</v>
      </c>
    </row>
    <row r="27" spans="1:9" ht="40.5" customHeight="1" x14ac:dyDescent="0.3">
      <c r="A27" s="35"/>
      <c r="B27" s="17"/>
      <c r="C27" s="7"/>
      <c r="D27" s="7"/>
      <c r="E27" s="7"/>
      <c r="F27" s="7"/>
      <c r="G27" s="7"/>
      <c r="H27"/>
    </row>
    <row r="28" spans="1:9" ht="18.75" x14ac:dyDescent="0.3">
      <c r="A28" s="35"/>
      <c r="B28" s="11" t="s">
        <v>13</v>
      </c>
      <c r="C28" s="7">
        <f t="shared" si="0"/>
        <v>80</v>
      </c>
      <c r="D28" s="10">
        <v>20</v>
      </c>
      <c r="E28" s="10">
        <v>20</v>
      </c>
      <c r="F28" s="10">
        <v>20</v>
      </c>
      <c r="G28" s="10">
        <v>20</v>
      </c>
    </row>
    <row r="29" spans="1:9" ht="37.5" x14ac:dyDescent="0.3">
      <c r="A29" s="35"/>
      <c r="B29" s="11" t="s">
        <v>14</v>
      </c>
      <c r="C29" s="7">
        <f t="shared" si="0"/>
        <v>3600</v>
      </c>
      <c r="D29" s="10">
        <v>900</v>
      </c>
      <c r="E29" s="10">
        <f>D29</f>
        <v>900</v>
      </c>
      <c r="F29" s="10">
        <f>D29</f>
        <v>900</v>
      </c>
      <c r="G29" s="10">
        <f>D29</f>
        <v>900</v>
      </c>
      <c r="H29" s="3">
        <f>(2355+273)/9</f>
        <v>292</v>
      </c>
      <c r="I29">
        <f>H29*3</f>
        <v>876</v>
      </c>
    </row>
    <row r="30" spans="1:9" ht="18.75" x14ac:dyDescent="0.3">
      <c r="A30" s="35"/>
      <c r="B30" s="6" t="s">
        <v>15</v>
      </c>
      <c r="C30" s="7">
        <f t="shared" si="0"/>
        <v>900</v>
      </c>
      <c r="D30" s="7">
        <f>75*3</f>
        <v>225</v>
      </c>
      <c r="E30" s="7">
        <f t="shared" ref="E30:F30" si="5">D30</f>
        <v>225</v>
      </c>
      <c r="F30" s="7">
        <f t="shared" si="5"/>
        <v>225</v>
      </c>
      <c r="G30" s="7">
        <f>75*3</f>
        <v>225</v>
      </c>
      <c r="H30" s="8" t="s">
        <v>43</v>
      </c>
    </row>
    <row r="31" spans="1:9" ht="18.75" x14ac:dyDescent="0.3">
      <c r="A31" s="35"/>
      <c r="B31" s="11" t="s">
        <v>16</v>
      </c>
      <c r="C31" s="7">
        <f t="shared" si="0"/>
        <v>1320</v>
      </c>
      <c r="D31" s="18">
        <f>1320/4</f>
        <v>330</v>
      </c>
      <c r="E31" s="18">
        <f t="shared" ref="E31:G31" si="6">1320/4</f>
        <v>330</v>
      </c>
      <c r="F31" s="18">
        <f t="shared" si="6"/>
        <v>330</v>
      </c>
      <c r="G31" s="18">
        <f t="shared" si="6"/>
        <v>330</v>
      </c>
      <c r="H31" s="8" t="s">
        <v>64</v>
      </c>
      <c r="I31" s="33"/>
    </row>
    <row r="32" spans="1:9" ht="18.75" x14ac:dyDescent="0.3">
      <c r="A32" s="35"/>
      <c r="B32" s="11" t="s">
        <v>17</v>
      </c>
      <c r="C32" s="7">
        <f t="shared" si="0"/>
        <v>180</v>
      </c>
      <c r="D32" s="18">
        <v>45</v>
      </c>
      <c r="E32" s="18">
        <v>45</v>
      </c>
      <c r="F32" s="18">
        <v>45</v>
      </c>
      <c r="G32" s="18">
        <v>45</v>
      </c>
      <c r="H32" s="8"/>
    </row>
    <row r="33" spans="1:10" ht="18.75" x14ac:dyDescent="0.3">
      <c r="A33" s="35"/>
      <c r="B33" s="11" t="s">
        <v>95</v>
      </c>
      <c r="C33" s="7">
        <v>300</v>
      </c>
      <c r="D33" s="18">
        <v>0</v>
      </c>
      <c r="E33" s="18">
        <v>300</v>
      </c>
      <c r="F33" s="18">
        <v>0</v>
      </c>
      <c r="G33" s="18">
        <v>0</v>
      </c>
      <c r="H33" s="8"/>
    </row>
    <row r="34" spans="1:10" ht="37.5" x14ac:dyDescent="0.3">
      <c r="A34" s="35"/>
      <c r="B34" s="14" t="s">
        <v>73</v>
      </c>
      <c r="C34" s="7">
        <f t="shared" ref="C34:C39" si="7">D34+E34+F34+G34</f>
        <v>600</v>
      </c>
      <c r="D34" s="10">
        <v>150</v>
      </c>
      <c r="E34" s="10">
        <v>150</v>
      </c>
      <c r="F34" s="10">
        <v>150</v>
      </c>
      <c r="G34" s="10">
        <v>150</v>
      </c>
      <c r="H34" s="6"/>
    </row>
    <row r="35" spans="1:10" ht="18.75" x14ac:dyDescent="0.3">
      <c r="A35" s="35"/>
      <c r="B35" s="9" t="s">
        <v>18</v>
      </c>
      <c r="C35" s="7">
        <f t="shared" si="7"/>
        <v>120</v>
      </c>
      <c r="D35" s="13">
        <v>30</v>
      </c>
      <c r="E35" s="13">
        <v>30</v>
      </c>
      <c r="F35" s="13">
        <v>30</v>
      </c>
      <c r="G35" s="13">
        <v>30</v>
      </c>
    </row>
    <row r="36" spans="1:10" ht="18.75" x14ac:dyDescent="0.3">
      <c r="A36" s="35"/>
      <c r="B36" s="9" t="s">
        <v>19</v>
      </c>
      <c r="C36" s="7">
        <f t="shared" si="7"/>
        <v>90</v>
      </c>
      <c r="D36" s="13">
        <v>0</v>
      </c>
      <c r="E36" s="13">
        <v>45</v>
      </c>
      <c r="F36" s="13">
        <v>0</v>
      </c>
      <c r="G36" s="13">
        <v>45</v>
      </c>
    </row>
    <row r="37" spans="1:10" ht="18.75" x14ac:dyDescent="0.3">
      <c r="A37" s="35"/>
      <c r="B37" s="6" t="s">
        <v>20</v>
      </c>
      <c r="C37" s="7">
        <f t="shared" si="7"/>
        <v>60</v>
      </c>
      <c r="D37" s="7">
        <v>15</v>
      </c>
      <c r="E37" s="7">
        <v>15</v>
      </c>
      <c r="F37" s="7">
        <v>15</v>
      </c>
      <c r="G37" s="7">
        <v>15</v>
      </c>
      <c r="H37"/>
    </row>
    <row r="38" spans="1:10" s="8" customFormat="1" ht="18.75" x14ac:dyDescent="0.3">
      <c r="A38" s="36"/>
      <c r="B38" s="6" t="s">
        <v>93</v>
      </c>
      <c r="C38" s="7">
        <f t="shared" si="7"/>
        <v>100</v>
      </c>
      <c r="D38" s="10">
        <v>0</v>
      </c>
      <c r="E38" s="81">
        <v>0</v>
      </c>
      <c r="F38" s="10">
        <v>100</v>
      </c>
      <c r="G38" s="10">
        <v>0</v>
      </c>
    </row>
    <row r="39" spans="1:10" s="8" customFormat="1" ht="18.75" x14ac:dyDescent="0.3">
      <c r="A39" s="36"/>
      <c r="B39" s="6" t="s">
        <v>21</v>
      </c>
      <c r="C39" s="7">
        <f t="shared" si="7"/>
        <v>300</v>
      </c>
      <c r="D39" s="10"/>
      <c r="E39" s="10"/>
      <c r="F39" s="10"/>
      <c r="G39" s="10">
        <v>300</v>
      </c>
    </row>
    <row r="40" spans="1:10" s="8" customFormat="1" ht="36.75" customHeight="1" x14ac:dyDescent="0.3">
      <c r="A40" s="36"/>
      <c r="B40" s="14" t="s">
        <v>74</v>
      </c>
      <c r="C40" s="7">
        <v>500</v>
      </c>
      <c r="D40" s="10"/>
      <c r="E40" s="10">
        <v>500</v>
      </c>
      <c r="F40" s="10"/>
      <c r="G40" s="10"/>
    </row>
    <row r="41" spans="1:10" s="8" customFormat="1" ht="36.75" customHeight="1" x14ac:dyDescent="0.3">
      <c r="A41" s="36"/>
      <c r="B41" s="14" t="s">
        <v>94</v>
      </c>
      <c r="C41" s="7">
        <v>1200</v>
      </c>
      <c r="D41" s="10">
        <v>300</v>
      </c>
      <c r="E41" s="10">
        <v>300</v>
      </c>
      <c r="F41" s="10">
        <v>300</v>
      </c>
      <c r="G41" s="10">
        <v>300</v>
      </c>
    </row>
    <row r="42" spans="1:10" ht="36.75" customHeight="1" x14ac:dyDescent="0.3">
      <c r="A42" s="35"/>
      <c r="B42" s="11" t="s">
        <v>81</v>
      </c>
      <c r="C42" s="7">
        <f>D42+E42+F42+G42</f>
        <v>600</v>
      </c>
      <c r="D42" s="18">
        <v>150</v>
      </c>
      <c r="E42" s="18">
        <v>150</v>
      </c>
      <c r="F42" s="18">
        <v>150</v>
      </c>
      <c r="G42" s="18">
        <v>150</v>
      </c>
      <c r="H42" s="8">
        <f>158.4-34</f>
        <v>124.4</v>
      </c>
    </row>
    <row r="43" spans="1:10" s="28" customFormat="1" ht="24" customHeight="1" x14ac:dyDescent="0.3">
      <c r="A43" s="56"/>
      <c r="B43" s="62" t="s">
        <v>78</v>
      </c>
      <c r="C43" s="63">
        <f>SUM(C13:C42)</f>
        <v>99704.270400000009</v>
      </c>
      <c r="D43" s="63">
        <f>SUM(D13:D42)</f>
        <v>31496.067600000002</v>
      </c>
      <c r="E43" s="63">
        <f>SUM(E13:E42)</f>
        <v>18101.067600000002</v>
      </c>
      <c r="F43" s="63">
        <f>SUM(F13:F42)</f>
        <v>18216.067600000002</v>
      </c>
      <c r="G43" s="63">
        <f>SUM(G13:G42)</f>
        <v>31891.067600000002</v>
      </c>
      <c r="H43" s="59">
        <f>SUM(D43:G43)</f>
        <v>99704.270400000009</v>
      </c>
    </row>
    <row r="44" spans="1:10" ht="24" customHeight="1" x14ac:dyDescent="0.3">
      <c r="A44" s="35"/>
      <c r="B44" s="11"/>
      <c r="C44" s="7"/>
      <c r="D44" s="7"/>
      <c r="E44" s="7"/>
      <c r="F44" s="7"/>
      <c r="G44" s="7"/>
      <c r="H44" s="48">
        <f>C43-H43</f>
        <v>0</v>
      </c>
    </row>
    <row r="45" spans="1:10" s="20" customFormat="1" ht="18.75" x14ac:dyDescent="0.3">
      <c r="A45" s="37"/>
      <c r="B45" s="60" t="s">
        <v>22</v>
      </c>
      <c r="C45" s="61"/>
      <c r="D45" s="61"/>
      <c r="E45" s="61"/>
      <c r="F45" s="61"/>
      <c r="G45" s="61"/>
      <c r="H45" s="15"/>
    </row>
    <row r="46" spans="1:10" ht="18.75" x14ac:dyDescent="0.3">
      <c r="A46" s="37"/>
      <c r="B46" s="9" t="s">
        <v>75</v>
      </c>
      <c r="C46" s="12"/>
      <c r="D46" s="12"/>
      <c r="E46" s="12"/>
      <c r="F46" s="12"/>
      <c r="G46" s="12"/>
    </row>
    <row r="47" spans="1:10" ht="18.75" x14ac:dyDescent="0.3">
      <c r="A47" s="37"/>
      <c r="B47" s="32" t="s">
        <v>85</v>
      </c>
      <c r="C47" s="12">
        <f>10562.4*H47*12</f>
        <v>15045.082559999999</v>
      </c>
      <c r="D47" s="12">
        <f>C47/4</f>
        <v>3761.2706399999997</v>
      </c>
      <c r="E47" s="12">
        <v>3761.2706399999997</v>
      </c>
      <c r="F47" s="12">
        <v>3761.2706399999997</v>
      </c>
      <c r="G47" s="12">
        <v>3761.2706399999997</v>
      </c>
      <c r="H47" s="15">
        <v>0.1187</v>
      </c>
      <c r="I47">
        <v>0.12740000000000001</v>
      </c>
      <c r="J47" t="s">
        <v>44</v>
      </c>
    </row>
    <row r="48" spans="1:10" ht="18.75" x14ac:dyDescent="0.3">
      <c r="A48" s="37"/>
      <c r="B48" s="32" t="s">
        <v>87</v>
      </c>
      <c r="C48" s="12">
        <f>124.4*H48*12</f>
        <v>190.18272000000002</v>
      </c>
      <c r="D48" s="12">
        <f>C48/4</f>
        <v>47.545680000000004</v>
      </c>
      <c r="E48" s="12">
        <v>47.545680000000004</v>
      </c>
      <c r="F48" s="12">
        <v>47.545680000000004</v>
      </c>
      <c r="G48" s="12">
        <v>47.545680000000004</v>
      </c>
      <c r="H48">
        <v>0.12740000000000001</v>
      </c>
      <c r="J48" t="s">
        <v>44</v>
      </c>
    </row>
    <row r="49" spans="1:10" ht="18.75" x14ac:dyDescent="0.3">
      <c r="A49" s="37"/>
      <c r="B49" s="32" t="s">
        <v>86</v>
      </c>
      <c r="C49" s="12">
        <f>255.1*H49*12</f>
        <v>389.99688000000003</v>
      </c>
      <c r="D49" s="12">
        <f>C49/4</f>
        <v>97.499220000000008</v>
      </c>
      <c r="E49" s="12">
        <v>97.499220000000008</v>
      </c>
      <c r="F49" s="12">
        <v>97.499220000000008</v>
      </c>
      <c r="G49" s="12">
        <v>97.499220000000008</v>
      </c>
      <c r="H49">
        <v>0.12740000000000001</v>
      </c>
      <c r="J49" t="s">
        <v>44</v>
      </c>
    </row>
    <row r="50" spans="1:10" ht="18.75" x14ac:dyDescent="0.3">
      <c r="A50" s="37"/>
      <c r="B50" s="9" t="s">
        <v>23</v>
      </c>
      <c r="C50" s="12">
        <f>D50+E50+F50+G50</f>
        <v>3800</v>
      </c>
      <c r="D50" s="12">
        <v>950</v>
      </c>
      <c r="E50" s="12">
        <f t="shared" ref="E50" si="8">D50</f>
        <v>950</v>
      </c>
      <c r="F50" s="12">
        <f t="shared" ref="F50" si="9">E50</f>
        <v>950</v>
      </c>
      <c r="G50" s="12">
        <f t="shared" ref="G50" si="10">F50</f>
        <v>950</v>
      </c>
      <c r="H50" s="15">
        <v>6.8628999999999998</v>
      </c>
      <c r="J50" t="s">
        <v>44</v>
      </c>
    </row>
    <row r="51" spans="1:10" ht="18.75" x14ac:dyDescent="0.3">
      <c r="A51" s="37"/>
      <c r="B51" s="9" t="s">
        <v>24</v>
      </c>
      <c r="C51" s="12">
        <f>D51+E51+F51+G51</f>
        <v>5840</v>
      </c>
      <c r="D51" s="12">
        <v>1460</v>
      </c>
      <c r="E51" s="12">
        <v>1460</v>
      </c>
      <c r="F51" s="12">
        <v>1460</v>
      </c>
      <c r="G51" s="12">
        <v>1460</v>
      </c>
      <c r="H51">
        <v>1.49</v>
      </c>
      <c r="J51" t="s">
        <v>46</v>
      </c>
    </row>
    <row r="52" spans="1:10" ht="18.75" x14ac:dyDescent="0.3">
      <c r="A52" s="37"/>
      <c r="B52" s="9" t="s">
        <v>25</v>
      </c>
      <c r="C52" s="12">
        <f>D52+E52+F52+G52</f>
        <v>31760</v>
      </c>
      <c r="D52" s="7">
        <v>15000</v>
      </c>
      <c r="E52" s="7">
        <v>840</v>
      </c>
      <c r="F52" s="7">
        <v>920</v>
      </c>
      <c r="G52" s="12">
        <v>15000</v>
      </c>
      <c r="H52">
        <v>18.4831</v>
      </c>
      <c r="I52" s="31">
        <v>92.25</v>
      </c>
      <c r="J52" t="s">
        <v>45</v>
      </c>
    </row>
    <row r="53" spans="1:10" ht="18.75" x14ac:dyDescent="0.3">
      <c r="A53" s="37"/>
      <c r="B53" s="9" t="s">
        <v>26</v>
      </c>
      <c r="C53" s="12">
        <f t="shared" ref="C53:C55" si="11">D53+E53+F53+G53</f>
        <v>2640</v>
      </c>
      <c r="D53" s="12">
        <v>660</v>
      </c>
      <c r="E53" s="12">
        <v>660</v>
      </c>
      <c r="F53" s="12">
        <v>660</v>
      </c>
      <c r="G53" s="12">
        <v>660</v>
      </c>
      <c r="H53" s="15">
        <v>0.82</v>
      </c>
      <c r="J53" t="s">
        <v>46</v>
      </c>
    </row>
    <row r="54" spans="1:10" ht="37.5" x14ac:dyDescent="0.3">
      <c r="A54" s="37"/>
      <c r="B54" s="14" t="s">
        <v>9</v>
      </c>
      <c r="C54" s="12">
        <f t="shared" si="11"/>
        <v>1500</v>
      </c>
      <c r="D54" s="12">
        <v>400</v>
      </c>
      <c r="E54" s="12">
        <v>350</v>
      </c>
      <c r="F54" s="12">
        <v>350</v>
      </c>
      <c r="G54" s="12">
        <v>400</v>
      </c>
      <c r="H54" s="20" t="s">
        <v>49</v>
      </c>
    </row>
    <row r="55" spans="1:10" ht="18.75" x14ac:dyDescent="0.3">
      <c r="A55" s="37"/>
      <c r="B55" s="14" t="s">
        <v>27</v>
      </c>
      <c r="C55" s="12">
        <f t="shared" si="11"/>
        <v>2600</v>
      </c>
      <c r="D55" s="12">
        <v>650</v>
      </c>
      <c r="E55" s="12">
        <v>650</v>
      </c>
      <c r="F55" s="12">
        <v>650</v>
      </c>
      <c r="G55" s="12">
        <v>650</v>
      </c>
      <c r="H55" s="15">
        <v>0.72</v>
      </c>
      <c r="J55" t="s">
        <v>46</v>
      </c>
    </row>
    <row r="56" spans="1:10" ht="18.75" x14ac:dyDescent="0.3">
      <c r="A56" s="37"/>
      <c r="B56" s="19" t="s">
        <v>76</v>
      </c>
      <c r="C56" s="12"/>
      <c r="D56" s="12"/>
      <c r="E56" s="12"/>
      <c r="F56" s="12"/>
      <c r="G56" s="12"/>
      <c r="H56" s="15"/>
    </row>
    <row r="57" spans="1:10" ht="18.75" x14ac:dyDescent="0.3">
      <c r="A57" s="37"/>
      <c r="B57" s="9" t="s">
        <v>77</v>
      </c>
      <c r="C57" s="12">
        <f>D57+E57+F57+G57</f>
        <v>1060</v>
      </c>
      <c r="D57" s="12">
        <v>300</v>
      </c>
      <c r="E57" s="12">
        <v>280</v>
      </c>
      <c r="F57" s="12">
        <v>200</v>
      </c>
      <c r="G57" s="12">
        <v>280</v>
      </c>
      <c r="H57" s="15"/>
    </row>
    <row r="58" spans="1:10" ht="18.75" x14ac:dyDescent="0.3">
      <c r="A58" s="37"/>
      <c r="B58" s="9" t="s">
        <v>28</v>
      </c>
      <c r="C58" s="12">
        <f>D58+E58+F58+G58</f>
        <v>1320</v>
      </c>
      <c r="D58" s="12">
        <v>300</v>
      </c>
      <c r="E58" s="12">
        <v>320</v>
      </c>
      <c r="F58" s="12">
        <v>340</v>
      </c>
      <c r="G58" s="12">
        <v>360</v>
      </c>
      <c r="H58" s="15"/>
      <c r="I58" s="41">
        <f>C57+C58</f>
        <v>2380</v>
      </c>
    </row>
    <row r="59" spans="1:10" s="28" customFormat="1" ht="18.75" x14ac:dyDescent="0.3">
      <c r="A59" s="52"/>
      <c r="B59" s="19" t="s">
        <v>88</v>
      </c>
      <c r="C59" s="53"/>
      <c r="D59" s="53"/>
      <c r="E59" s="53"/>
      <c r="F59" s="53"/>
      <c r="G59" s="53"/>
      <c r="H59" s="54"/>
      <c r="I59" s="55"/>
    </row>
    <row r="60" spans="1:10" ht="18.75" x14ac:dyDescent="0.3">
      <c r="A60" s="37"/>
      <c r="B60" s="9" t="s">
        <v>16</v>
      </c>
      <c r="C60" s="12">
        <f>C31</f>
        <v>1320</v>
      </c>
      <c r="D60" s="18">
        <f>1320/4</f>
        <v>330</v>
      </c>
      <c r="E60" s="18">
        <f t="shared" ref="E60:G60" si="12">1320/4</f>
        <v>330</v>
      </c>
      <c r="F60" s="18">
        <f t="shared" si="12"/>
        <v>330</v>
      </c>
      <c r="G60" s="18">
        <f t="shared" si="12"/>
        <v>330</v>
      </c>
      <c r="H60" s="15"/>
      <c r="I60" s="41"/>
    </row>
    <row r="61" spans="1:10" ht="18.75" x14ac:dyDescent="0.3">
      <c r="A61" s="37"/>
      <c r="B61" s="60" t="s">
        <v>29</v>
      </c>
      <c r="C61" s="68">
        <f>SUM(C47:C60)</f>
        <v>67465.262159999998</v>
      </c>
      <c r="D61" s="68">
        <f t="shared" ref="D61:G61" si="13">SUM(D47:D60)</f>
        <v>23956.31554</v>
      </c>
      <c r="E61" s="68">
        <f t="shared" si="13"/>
        <v>9746.3155399999996</v>
      </c>
      <c r="F61" s="68">
        <f t="shared" si="13"/>
        <v>9766.3155399999996</v>
      </c>
      <c r="G61" s="68">
        <f t="shared" si="13"/>
        <v>23996.31554</v>
      </c>
      <c r="H61" s="49">
        <f>SUM(D61:G61)</f>
        <v>67465.262159999998</v>
      </c>
      <c r="I61" s="50">
        <f>I58*5%</f>
        <v>119</v>
      </c>
    </row>
    <row r="62" spans="1:10" ht="18.75" x14ac:dyDescent="0.3">
      <c r="A62" s="38"/>
      <c r="B62" s="69" t="s">
        <v>30</v>
      </c>
      <c r="C62" s="70">
        <f>C43-C61</f>
        <v>32239.00824000001</v>
      </c>
      <c r="D62" s="70">
        <f t="shared" ref="D62:G62" si="14">D43-D61</f>
        <v>7539.7520600000025</v>
      </c>
      <c r="E62" s="70">
        <f t="shared" si="14"/>
        <v>8354.7520600000025</v>
      </c>
      <c r="F62" s="70">
        <f t="shared" si="14"/>
        <v>8449.7520600000025</v>
      </c>
      <c r="G62" s="70">
        <f t="shared" si="14"/>
        <v>7894.7520600000025</v>
      </c>
      <c r="H62" s="51">
        <f>C61-H61</f>
        <v>0</v>
      </c>
    </row>
    <row r="63" spans="1:10" ht="18.75" x14ac:dyDescent="0.3">
      <c r="A63" s="38"/>
      <c r="B63" s="69" t="s">
        <v>31</v>
      </c>
      <c r="C63" s="70">
        <f>10562.4+124.4+255.1</f>
        <v>10941.9</v>
      </c>
      <c r="D63" s="70">
        <f t="shared" ref="D63:G63" si="15">10562.4+124.4+255.1</f>
        <v>10941.9</v>
      </c>
      <c r="E63" s="70">
        <f t="shared" si="15"/>
        <v>10941.9</v>
      </c>
      <c r="F63" s="70">
        <f t="shared" si="15"/>
        <v>10941.9</v>
      </c>
      <c r="G63" s="70">
        <f t="shared" si="15"/>
        <v>10941.9</v>
      </c>
      <c r="H63" s="15"/>
    </row>
    <row r="64" spans="1:10" ht="18.75" x14ac:dyDescent="0.3">
      <c r="A64" s="38"/>
      <c r="B64" s="69" t="s">
        <v>82</v>
      </c>
      <c r="C64" s="12">
        <f t="shared" ref="C64" si="16">D64+E64+F64+G64</f>
        <v>2.9463811805993485</v>
      </c>
      <c r="D64" s="71">
        <f>D62/D63</f>
        <v>0.68907155612827775</v>
      </c>
      <c r="E64" s="71">
        <f>E62/E63</f>
        <v>0.76355587786399093</v>
      </c>
      <c r="F64" s="71">
        <f>F62/F63</f>
        <v>0.77223809941600663</v>
      </c>
      <c r="G64" s="71">
        <f>G62/G63</f>
        <v>0.72151564719107308</v>
      </c>
      <c r="H64" s="30"/>
      <c r="I64" s="79">
        <f>C64*100</f>
        <v>294.63811805993487</v>
      </c>
    </row>
    <row r="65" spans="1:8" ht="18.75" x14ac:dyDescent="0.3">
      <c r="A65" s="38"/>
      <c r="B65" s="77" t="s">
        <v>32</v>
      </c>
      <c r="C65" s="78">
        <f>C64/12</f>
        <v>0.2455317650499457</v>
      </c>
      <c r="D65" s="78">
        <f>D64/3</f>
        <v>0.22969051870942592</v>
      </c>
      <c r="E65" s="78">
        <f>E64/3</f>
        <v>0.25451862595466362</v>
      </c>
      <c r="F65" s="78">
        <f>F64/3</f>
        <v>0.25741269980533554</v>
      </c>
      <c r="G65" s="78">
        <f>G64/3</f>
        <v>0.24050521573035769</v>
      </c>
      <c r="H65" s="72"/>
    </row>
    <row r="66" spans="1:8" ht="37.5" x14ac:dyDescent="0.3">
      <c r="A66" s="38"/>
      <c r="B66" s="73" t="s">
        <v>33</v>
      </c>
      <c r="C66" s="74">
        <f>C64*C63+C61-C43</f>
        <v>0</v>
      </c>
      <c r="D66" s="74">
        <f t="shared" ref="D66:G66" si="17">D64*D63+D61-D43</f>
        <v>0</v>
      </c>
      <c r="E66" s="74">
        <f t="shared" si="17"/>
        <v>0</v>
      </c>
      <c r="F66" s="74">
        <f t="shared" si="17"/>
        <v>0</v>
      </c>
      <c r="G66" s="74">
        <f t="shared" si="17"/>
        <v>0</v>
      </c>
      <c r="H66" s="15"/>
    </row>
    <row r="67" spans="1:8" ht="18.75" x14ac:dyDescent="0.3">
      <c r="A67" s="38"/>
      <c r="B67" s="73" t="s">
        <v>34</v>
      </c>
      <c r="C67" s="74">
        <f>SUM(D67:G67)</f>
        <v>14989.601879999998</v>
      </c>
      <c r="D67" s="75">
        <f>H67*3</f>
        <v>3747.4004699999996</v>
      </c>
      <c r="E67" s="75">
        <v>3747.4004699999996</v>
      </c>
      <c r="F67" s="75">
        <v>3747.4004699999996</v>
      </c>
      <c r="G67" s="75">
        <v>3747.4004699999996</v>
      </c>
      <c r="H67" s="76">
        <f>10562.4*0.1001+(124.4+255.1)*0.5055</f>
        <v>1249.1334899999999</v>
      </c>
    </row>
    <row r="68" spans="1:8" ht="24" customHeight="1" x14ac:dyDescent="0.3">
      <c r="A68" s="35"/>
      <c r="B68" s="11"/>
      <c r="C68" s="7"/>
      <c r="D68" s="18"/>
      <c r="E68" s="18"/>
      <c r="F68" s="18"/>
      <c r="G68" s="18"/>
      <c r="H68" s="8"/>
    </row>
    <row r="69" spans="1:8" s="28" customFormat="1" ht="24" customHeight="1" x14ac:dyDescent="0.3">
      <c r="A69" s="56"/>
      <c r="B69" s="88" t="s">
        <v>89</v>
      </c>
      <c r="C69" s="89"/>
      <c r="D69" s="89"/>
      <c r="E69" s="89"/>
      <c r="F69" s="89"/>
      <c r="G69" s="90"/>
      <c r="H69" s="57"/>
    </row>
    <row r="70" spans="1:8" ht="18.75" x14ac:dyDescent="0.3">
      <c r="A70" s="35"/>
      <c r="B70" s="11" t="s">
        <v>69</v>
      </c>
      <c r="C70" s="7"/>
      <c r="D70" s="18"/>
      <c r="E70" s="18"/>
      <c r="F70" s="18"/>
      <c r="G70" s="18"/>
      <c r="H70" s="8"/>
    </row>
    <row r="71" spans="1:8" ht="18.75" x14ac:dyDescent="0.3">
      <c r="A71" s="45"/>
      <c r="B71" s="46" t="s">
        <v>66</v>
      </c>
      <c r="C71" s="7">
        <v>300</v>
      </c>
      <c r="D71" s="18"/>
      <c r="E71" s="18"/>
      <c r="F71" s="18"/>
      <c r="G71" s="18"/>
      <c r="H71" s="8"/>
    </row>
    <row r="72" spans="1:8" ht="18.75" x14ac:dyDescent="0.3">
      <c r="A72" s="45"/>
      <c r="B72" s="46" t="s">
        <v>67</v>
      </c>
      <c r="C72" s="7">
        <v>130</v>
      </c>
      <c r="D72" s="18"/>
      <c r="E72" s="18"/>
      <c r="F72" s="18"/>
      <c r="G72" s="18"/>
      <c r="H72" s="8"/>
    </row>
    <row r="73" spans="1:8" ht="18.75" x14ac:dyDescent="0.3">
      <c r="A73" s="45"/>
      <c r="B73" s="44" t="s">
        <v>96</v>
      </c>
      <c r="C73" s="7">
        <v>240</v>
      </c>
      <c r="D73" s="18"/>
      <c r="E73" s="18"/>
      <c r="F73" s="18"/>
      <c r="G73" s="18"/>
      <c r="H73" s="8"/>
    </row>
    <row r="74" spans="1:8" ht="18.75" x14ac:dyDescent="0.3">
      <c r="A74" s="45"/>
      <c r="B74" s="46" t="s">
        <v>65</v>
      </c>
      <c r="C74" s="7">
        <v>250</v>
      </c>
      <c r="D74" s="82" t="s">
        <v>90</v>
      </c>
      <c r="E74" s="83"/>
      <c r="F74" s="83"/>
      <c r="G74" s="84"/>
      <c r="H74" s="8"/>
    </row>
    <row r="75" spans="1:8" ht="18.75" x14ac:dyDescent="0.3">
      <c r="A75" s="45"/>
      <c r="B75" s="46" t="s">
        <v>70</v>
      </c>
      <c r="C75" s="7">
        <v>200</v>
      </c>
      <c r="D75" s="18"/>
      <c r="E75" s="18"/>
      <c r="F75" s="18"/>
      <c r="G75" s="18"/>
      <c r="H75" s="8"/>
    </row>
    <row r="76" spans="1:8" ht="31.5" x14ac:dyDescent="0.3">
      <c r="A76" s="45"/>
      <c r="B76" s="44" t="s">
        <v>68</v>
      </c>
      <c r="C76" s="7">
        <v>150</v>
      </c>
      <c r="D76" s="18"/>
      <c r="E76" s="18"/>
      <c r="F76" s="18"/>
      <c r="G76" s="18"/>
      <c r="H76" s="8"/>
    </row>
    <row r="77" spans="1:8" ht="18.75" x14ac:dyDescent="0.3">
      <c r="A77" s="45"/>
      <c r="B77" s="44" t="s">
        <v>71</v>
      </c>
      <c r="C77" s="7">
        <v>80</v>
      </c>
      <c r="D77" s="18"/>
      <c r="E77" s="18"/>
      <c r="F77" s="18"/>
      <c r="G77" s="18"/>
      <c r="H77" s="8"/>
    </row>
    <row r="78" spans="1:8" ht="18.75" x14ac:dyDescent="0.3">
      <c r="A78" s="45"/>
      <c r="B78" s="44" t="s">
        <v>72</v>
      </c>
      <c r="C78" s="7">
        <v>200</v>
      </c>
      <c r="D78" s="18"/>
      <c r="E78" s="18"/>
      <c r="F78" s="18"/>
      <c r="G78" s="18"/>
      <c r="H78" s="8"/>
    </row>
    <row r="79" spans="1:8" ht="18.75" x14ac:dyDescent="0.3">
      <c r="A79" s="58"/>
      <c r="B79" s="44" t="s">
        <v>91</v>
      </c>
      <c r="C79" s="7">
        <v>150</v>
      </c>
      <c r="D79" s="18"/>
      <c r="E79" s="18"/>
      <c r="F79" s="18"/>
      <c r="G79" s="18"/>
      <c r="H79" s="8"/>
    </row>
    <row r="80" spans="1:8" ht="18.75" x14ac:dyDescent="0.3">
      <c r="A80" s="58"/>
      <c r="B80" s="44" t="s">
        <v>97</v>
      </c>
      <c r="C80" s="7">
        <v>1200</v>
      </c>
      <c r="D80" s="18"/>
      <c r="E80" s="18"/>
      <c r="F80" s="18"/>
      <c r="G80" s="18"/>
      <c r="H80" s="8"/>
    </row>
    <row r="81" spans="1:8" ht="18.75" x14ac:dyDescent="0.3">
      <c r="A81" s="58"/>
      <c r="B81" s="44"/>
      <c r="C81" s="7"/>
      <c r="D81" s="18"/>
      <c r="E81" s="18"/>
      <c r="F81" s="18"/>
      <c r="G81" s="18"/>
      <c r="H81" s="8"/>
    </row>
    <row r="82" spans="1:8" ht="18.75" x14ac:dyDescent="0.3">
      <c r="A82" s="58"/>
      <c r="B82" s="44"/>
      <c r="C82" s="7"/>
      <c r="D82" s="18"/>
      <c r="E82" s="18"/>
      <c r="F82" s="18"/>
      <c r="G82" s="18"/>
      <c r="H82" s="8"/>
    </row>
    <row r="83" spans="1:8" x14ac:dyDescent="0.3">
      <c r="B83" s="67" t="s">
        <v>92</v>
      </c>
      <c r="C83" s="66">
        <f>SUM(C71:C80)</f>
        <v>2900</v>
      </c>
      <c r="D83" s="35"/>
      <c r="E83" s="35"/>
      <c r="F83" s="35"/>
      <c r="G83" s="35"/>
    </row>
    <row r="90" spans="1:8" ht="18.75" x14ac:dyDescent="0.3">
      <c r="B90" s="21"/>
      <c r="C90" s="21"/>
      <c r="D90" s="21"/>
      <c r="E90" s="21"/>
      <c r="F90" s="21"/>
      <c r="G90" s="21"/>
    </row>
    <row r="91" spans="1:8" ht="18.75" x14ac:dyDescent="0.3">
      <c r="B91" s="21" t="s">
        <v>35</v>
      </c>
      <c r="C91" s="21" t="s">
        <v>36</v>
      </c>
      <c r="D91" s="21" t="s">
        <v>36</v>
      </c>
      <c r="E91" s="22"/>
      <c r="F91" s="21"/>
      <c r="G91" s="21"/>
    </row>
    <row r="92" spans="1:8" ht="18.75" x14ac:dyDescent="0.3">
      <c r="B92" s="21"/>
      <c r="C92" s="21"/>
      <c r="D92" s="21"/>
      <c r="E92" s="22"/>
      <c r="F92" s="21"/>
      <c r="G92" s="21"/>
    </row>
    <row r="93" spans="1:8" ht="18.75" x14ac:dyDescent="0.3">
      <c r="B93" s="21" t="s">
        <v>37</v>
      </c>
      <c r="C93" s="21" t="s">
        <v>36</v>
      </c>
      <c r="D93" s="21" t="s">
        <v>36</v>
      </c>
      <c r="E93" s="22"/>
      <c r="F93" s="21"/>
      <c r="G93" s="21"/>
    </row>
    <row r="94" spans="1:8" x14ac:dyDescent="0.3">
      <c r="B94" s="23"/>
      <c r="C94" s="24"/>
      <c r="D94" s="24"/>
      <c r="E94" s="24"/>
      <c r="F94" s="24"/>
      <c r="G94" s="24"/>
    </row>
    <row r="95" spans="1:8" x14ac:dyDescent="0.3">
      <c r="B95" s="23"/>
      <c r="C95" s="24"/>
      <c r="D95" s="24"/>
      <c r="E95" s="24"/>
      <c r="F95" s="24"/>
      <c r="G95" s="24"/>
    </row>
  </sheetData>
  <mergeCells count="6">
    <mergeCell ref="D74:G74"/>
    <mergeCell ref="B8:G8"/>
    <mergeCell ref="E3:G3"/>
    <mergeCell ref="H18:H19"/>
    <mergeCell ref="H20:H21"/>
    <mergeCell ref="B69:G69"/>
  </mergeCells>
  <pageMargins left="0.70866141732283472" right="0.31496062992125984" top="0.31496062992125984" bottom="0.43307086614173229" header="0.31496062992125984" footer="0.31496062992125984"/>
  <pageSetup paperSize="9"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"/>
  <sheetViews>
    <sheetView workbookViewId="0">
      <selection activeCell="I18" sqref="I18"/>
    </sheetView>
  </sheetViews>
  <sheetFormatPr defaultRowHeight="15" x14ac:dyDescent="0.25"/>
  <cols>
    <col min="2" max="2" width="17.7109375" customWidth="1"/>
    <col min="3" max="3" width="15.42578125" customWidth="1"/>
    <col min="8" max="8" width="11" customWidth="1"/>
    <col min="9" max="9" width="12.85546875" customWidth="1"/>
  </cols>
  <sheetData>
    <row r="2" spans="1:12" x14ac:dyDescent="0.25">
      <c r="B2" s="91" t="s">
        <v>56</v>
      </c>
      <c r="C2" s="91"/>
      <c r="D2" t="s">
        <v>59</v>
      </c>
      <c r="H2" s="91" t="s">
        <v>56</v>
      </c>
      <c r="I2" s="91"/>
      <c r="J2" t="s">
        <v>59</v>
      </c>
    </row>
    <row r="3" spans="1:12" x14ac:dyDescent="0.25">
      <c r="B3" s="40" t="s">
        <v>57</v>
      </c>
      <c r="C3" s="40" t="s">
        <v>58</v>
      </c>
      <c r="D3">
        <v>18.4831</v>
      </c>
      <c r="E3">
        <v>20.621600000000001</v>
      </c>
      <c r="H3" s="40" t="s">
        <v>57</v>
      </c>
      <c r="I3" s="40" t="s">
        <v>58</v>
      </c>
      <c r="J3">
        <v>88.99</v>
      </c>
      <c r="K3">
        <v>92.25</v>
      </c>
    </row>
    <row r="4" spans="1:12" x14ac:dyDescent="0.25">
      <c r="A4">
        <v>4</v>
      </c>
      <c r="B4">
        <v>70.099999999999994</v>
      </c>
      <c r="G4">
        <v>4</v>
      </c>
      <c r="H4">
        <v>13373.17</v>
      </c>
      <c r="I4">
        <v>0</v>
      </c>
    </row>
    <row r="5" spans="1:12" x14ac:dyDescent="0.25">
      <c r="A5">
        <v>5</v>
      </c>
      <c r="B5">
        <v>355.82</v>
      </c>
      <c r="C5">
        <v>75.959999999999994</v>
      </c>
      <c r="G5">
        <v>5</v>
      </c>
      <c r="H5">
        <v>6927.64</v>
      </c>
      <c r="I5">
        <v>67.599999999999994</v>
      </c>
    </row>
    <row r="6" spans="1:12" x14ac:dyDescent="0.25">
      <c r="A6">
        <v>6</v>
      </c>
      <c r="C6">
        <v>13.87</v>
      </c>
      <c r="G6">
        <v>6</v>
      </c>
      <c r="H6">
        <v>63.51</v>
      </c>
      <c r="I6">
        <v>24.78</v>
      </c>
    </row>
    <row r="7" spans="1:12" x14ac:dyDescent="0.25">
      <c r="A7">
        <v>7</v>
      </c>
      <c r="C7">
        <v>102.46</v>
      </c>
      <c r="G7">
        <v>7</v>
      </c>
      <c r="H7">
        <v>0</v>
      </c>
      <c r="I7">
        <v>40.57</v>
      </c>
    </row>
    <row r="8" spans="1:12" x14ac:dyDescent="0.25">
      <c r="A8">
        <v>8</v>
      </c>
      <c r="C8">
        <v>170.52</v>
      </c>
      <c r="G8">
        <v>8</v>
      </c>
      <c r="H8">
        <v>0</v>
      </c>
      <c r="I8">
        <v>158.22999999999999</v>
      </c>
    </row>
    <row r="9" spans="1:12" x14ac:dyDescent="0.25">
      <c r="A9">
        <v>9</v>
      </c>
      <c r="C9">
        <v>232.1</v>
      </c>
      <c r="G9">
        <v>9</v>
      </c>
      <c r="H9">
        <v>0</v>
      </c>
      <c r="I9">
        <v>110.22</v>
      </c>
    </row>
    <row r="11" spans="1:12" x14ac:dyDescent="0.25">
      <c r="A11">
        <v>10</v>
      </c>
      <c r="B11">
        <v>173.35</v>
      </c>
      <c r="C11">
        <v>116.84</v>
      </c>
      <c r="G11">
        <v>10</v>
      </c>
      <c r="H11">
        <v>806.54</v>
      </c>
      <c r="I11">
        <v>277.20999999999998</v>
      </c>
    </row>
    <row r="12" spans="1:12" x14ac:dyDescent="0.25">
      <c r="A12">
        <v>11</v>
      </c>
      <c r="B12">
        <v>932</v>
      </c>
      <c r="C12">
        <v>206.11</v>
      </c>
      <c r="G12">
        <v>11</v>
      </c>
      <c r="H12">
        <v>4262.32</v>
      </c>
      <c r="I12">
        <v>204.5</v>
      </c>
    </row>
    <row r="13" spans="1:12" x14ac:dyDescent="0.25">
      <c r="A13">
        <v>12</v>
      </c>
      <c r="B13">
        <v>1250.71</v>
      </c>
      <c r="C13">
        <v>167.16</v>
      </c>
      <c r="G13">
        <v>12</v>
      </c>
      <c r="H13">
        <v>5150.34</v>
      </c>
      <c r="I13">
        <v>193.96</v>
      </c>
    </row>
    <row r="14" spans="1:12" x14ac:dyDescent="0.25">
      <c r="B14">
        <f>SUM(B11:B13)</f>
        <v>2356.06</v>
      </c>
      <c r="C14">
        <f>SUM(C5:C13)</f>
        <v>1085.02</v>
      </c>
      <c r="H14">
        <f>SUM(H11:H13)</f>
        <v>10219.200000000001</v>
      </c>
      <c r="I14">
        <f>SUM(I5:I13)</f>
        <v>1077.07</v>
      </c>
      <c r="J14">
        <f>SUM(H14:I14)</f>
        <v>11296.27</v>
      </c>
      <c r="K14">
        <f>J14/J3</f>
        <v>126.93864479154962</v>
      </c>
      <c r="L14">
        <f>K14*K3</f>
        <v>11710.089982020452</v>
      </c>
    </row>
    <row r="15" spans="1:12" x14ac:dyDescent="0.25">
      <c r="B15" s="41">
        <f>B14/D3</f>
        <v>127.47104111323317</v>
      </c>
      <c r="C15" s="41">
        <f>C14/D3</f>
        <v>58.703356038759729</v>
      </c>
      <c r="D15" s="41">
        <f>SUM(B15:C15)</f>
        <v>186.17439715199291</v>
      </c>
      <c r="E15">
        <f>D15*E3</f>
        <v>3839.213948309537</v>
      </c>
    </row>
  </sheetData>
  <mergeCells count="2">
    <mergeCell ref="B2:C2"/>
    <mergeCell ref="H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2020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2020-01-24T08:39:20Z</cp:lastPrinted>
  <dcterms:created xsi:type="dcterms:W3CDTF">2019-11-14T23:27:57Z</dcterms:created>
  <dcterms:modified xsi:type="dcterms:W3CDTF">2020-03-06T16:16:47Z</dcterms:modified>
</cp:coreProperties>
</file>